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9465" windowHeight="6690" tabRatio="792" activeTab="0"/>
  </bookViews>
  <sheets>
    <sheet name="no mortgage" sheetId="1" r:id="rId1"/>
    <sheet name="100% mortgage" sheetId="2" r:id="rId2"/>
    <sheet name="additional costs mortgage" sheetId="3" r:id="rId3"/>
    <sheet name="partial 70% mortgage" sheetId="4" r:id="rId4"/>
  </sheets>
  <definedNames>
    <definedName name="_xlnm.Print_Area" localSheetId="1">'100% mortgage'!$A$1:$Z$193</definedName>
    <definedName name="_xlnm.Print_Area" localSheetId="2">'additional costs mortgage'!$A$1:$Z$193</definedName>
    <definedName name="_xlnm.Print_Area" localSheetId="0">'no mortgage'!$A$1:$Z$192</definedName>
    <definedName name="_xlnm.Print_Area" localSheetId="3">'partial 70% mortgage'!$A$1:$AT$263</definedName>
  </definedNames>
  <calcPr fullCalcOnLoad="1"/>
</workbook>
</file>

<file path=xl/sharedStrings.xml><?xml version="1.0" encoding="utf-8"?>
<sst xmlns="http://schemas.openxmlformats.org/spreadsheetml/2006/main" count="2238" uniqueCount="249">
  <si>
    <t>England</t>
  </si>
  <si>
    <t>Finland</t>
  </si>
  <si>
    <t>France</t>
  </si>
  <si>
    <t>Germany</t>
  </si>
  <si>
    <t xml:space="preserve">Ireland </t>
  </si>
  <si>
    <t>Italy</t>
  </si>
  <si>
    <t>Netherlands</t>
  </si>
  <si>
    <t>Poland</t>
  </si>
  <si>
    <t>Scotland</t>
  </si>
  <si>
    <t>Spain</t>
  </si>
  <si>
    <t>Sweden</t>
  </si>
  <si>
    <t>Country</t>
  </si>
  <si>
    <t xml:space="preserve">Austria </t>
  </si>
  <si>
    <t>Belgium</t>
  </si>
  <si>
    <t>Denmark</t>
  </si>
  <si>
    <t>Greece</t>
  </si>
  <si>
    <t>Slovenia</t>
  </si>
  <si>
    <t>Transfer tax</t>
  </si>
  <si>
    <t>VAT</t>
  </si>
  <si>
    <t>Hungary (solicitor)</t>
  </si>
  <si>
    <t>1 British Pound (GPB) = 1,5 Euro; 1 SKK (Slovac Rep.) = 0,027 Euro</t>
  </si>
  <si>
    <t>percent of total costs</t>
  </si>
  <si>
    <t>tax</t>
  </si>
  <si>
    <t>register</t>
  </si>
  <si>
    <t>percent of professional fees</t>
  </si>
  <si>
    <t>agent</t>
  </si>
  <si>
    <t>techn.</t>
  </si>
  <si>
    <t>average</t>
  </si>
  <si>
    <t xml:space="preserve">   cost/value relation</t>
  </si>
  <si>
    <t>100.000.- €</t>
  </si>
  <si>
    <t>500.000.- €</t>
  </si>
  <si>
    <t>250.000.- €</t>
  </si>
  <si>
    <t>Technical s.</t>
  </si>
  <si>
    <t>Land regist.</t>
  </si>
  <si>
    <t>total t. costs</t>
  </si>
  <si>
    <t>prof. Fees</t>
  </si>
  <si>
    <t>cost excl tax</t>
  </si>
  <si>
    <t>total cost</t>
  </si>
  <si>
    <t>prof. fee</t>
  </si>
  <si>
    <t>professional fees/value</t>
  </si>
  <si>
    <t>Real e.agent</t>
  </si>
  <si>
    <t xml:space="preserve">In Belgium, a medium tax rate of 11,5% was formed from the differing rates in Brussels, Flanders and Wallonia. </t>
  </si>
  <si>
    <t>prof. fees</t>
  </si>
  <si>
    <t>n.r.</t>
  </si>
  <si>
    <t>total number of countries:</t>
  </si>
  <si>
    <t>Transfer Costs for Conveyancing including Mortgage</t>
  </si>
  <si>
    <t>Lawyers</t>
  </si>
  <si>
    <t>lawyer</t>
  </si>
  <si>
    <t>Czech Republic</t>
  </si>
  <si>
    <t>England including 0,1% mortgage fee (lawyer); Finland including bank fee for registration of the mortgage (for all transaction values)</t>
  </si>
  <si>
    <t>For the Nordic countries, the legal services by the Nordic real estate agents are figured as part of their respective fee, not in the column for the lawyers' fees.</t>
  </si>
  <si>
    <t>countries with technical services</t>
  </si>
  <si>
    <t>number of countries with data for technical services:</t>
  </si>
  <si>
    <t>For Italy, we applied for 100.000.- up to 500.000.- € the first home tax rate of 3% (of the fiscal value of half of the purchase price).</t>
  </si>
  <si>
    <t>For Italy the fees mentioned are based on the statutorily fixed tarif for notaries, which has been abolished in the summer of 2006. New data are not yet available.</t>
  </si>
  <si>
    <t>For Finland, "lawyers" includes the 77€ notary fee for certification of the signature + 353 € banking fee for the mortgage registration (but not the 0.2% banking fee for the handling of loan/mortgage).</t>
  </si>
  <si>
    <t>average transaction price</t>
  </si>
  <si>
    <t>(including 100% mortgage)</t>
  </si>
  <si>
    <t>average price</t>
  </si>
  <si>
    <t>Remarks:</t>
  </si>
  <si>
    <t>Estimated average prices are in italics.</t>
  </si>
  <si>
    <t>Nordic countries: agent/lawyer in italics</t>
  </si>
  <si>
    <t>D</t>
  </si>
  <si>
    <t>L</t>
  </si>
  <si>
    <t>N</t>
  </si>
  <si>
    <t>hybrid</t>
  </si>
  <si>
    <t>S</t>
  </si>
  <si>
    <t>estimated</t>
  </si>
  <si>
    <t xml:space="preserve">Price </t>
  </si>
  <si>
    <t>GNP</t>
  </si>
  <si>
    <t>percent of transaction value</t>
  </si>
  <si>
    <t xml:space="preserve">residential house/ </t>
  </si>
  <si>
    <t>fee</t>
  </si>
  <si>
    <t>level</t>
  </si>
  <si>
    <t>apartment</t>
  </si>
  <si>
    <t xml:space="preserve">Remarks: </t>
  </si>
  <si>
    <t xml:space="preserve">Price levell 2005 from Eurostat, internet database (compared to EU 25) </t>
  </si>
  <si>
    <t xml:space="preserve">In Denmark, Finland and Sweden, the real estate agents draft the contract. </t>
  </si>
  <si>
    <t>Thus, part of the real estate agent's fee has to be considered as legal fees.</t>
  </si>
  <si>
    <t>Denmark:</t>
  </si>
  <si>
    <t>England:</t>
  </si>
  <si>
    <t>1 British Pound (GPB) = 1,5 Euro</t>
  </si>
  <si>
    <t xml:space="preserve">In England, an additional legal fee of 0.25% of the loan is allowed by Law Society Guidance. </t>
  </si>
  <si>
    <t xml:space="preserve">However, it seems to be less common than in Scotland. </t>
  </si>
  <si>
    <t xml:space="preserve">So we included a 0.1% in the average costs. </t>
  </si>
  <si>
    <t>Finland:</t>
  </si>
  <si>
    <t xml:space="preserve">For Finland we estimate the legal fees as follows: </t>
  </si>
  <si>
    <r>
      <t xml:space="preserve">  </t>
    </r>
    <r>
      <rPr>
        <sz val="12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500.- Euro  as part of the real estate agent's fee </t>
    </r>
  </si>
  <si>
    <t>(Lawyers would charge for the contract drafting between 150-700 Euro). </t>
  </si>
  <si>
    <t xml:space="preserve"> +  353,2 Euro  registration service of the bank for the mortgage</t>
  </si>
  <si>
    <t xml:space="preserve">+   77.-  Euro  notary (certification of signature) </t>
  </si>
  <si>
    <t>Sweden:</t>
  </si>
  <si>
    <r>
      <t>For Sweden the legal fees comprise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500.- Euro (estimated part of the real estate agent's fee). </t>
    </r>
  </si>
  <si>
    <t>per person</t>
  </si>
  <si>
    <t>price</t>
  </si>
  <si>
    <t>GNP per</t>
  </si>
  <si>
    <t>person</t>
  </si>
  <si>
    <t>Nordic countries</t>
  </si>
  <si>
    <t xml:space="preserve">S </t>
  </si>
  <si>
    <t xml:space="preserve">L </t>
  </si>
  <si>
    <t xml:space="preserve">D </t>
  </si>
  <si>
    <t xml:space="preserve">N </t>
  </si>
  <si>
    <t>Lawyer countries</t>
  </si>
  <si>
    <t>civil law notaries</t>
  </si>
  <si>
    <t>Comparison of systems</t>
  </si>
  <si>
    <t>Regulatory system</t>
  </si>
  <si>
    <t>Legal services</t>
  </si>
  <si>
    <t>country average</t>
  </si>
  <si>
    <t xml:space="preserve">Fees for the average price have been calculated proportionaly according to the data stated for the closest fee levels (100,000 €, 250,000 € or 500,000 €). </t>
  </si>
  <si>
    <t>For the national average price of residential buildings, the figures for apartments and houses have been given equal weight.</t>
  </si>
  <si>
    <t>fee for average price</t>
  </si>
  <si>
    <t>net</t>
  </si>
  <si>
    <t>earnings</t>
  </si>
  <si>
    <t>manufacture</t>
  </si>
  <si>
    <t xml:space="preserve">Nordic: </t>
  </si>
  <si>
    <t>Net earning: One-earner married couple, at 100% of AW, with two children -  Manufacturing</t>
  </si>
  <si>
    <t>Spain:</t>
  </si>
  <si>
    <t>respectively for the 100,000, 250,000 and 500,000 transaction value).</t>
  </si>
  <si>
    <t>Transfer Costs for Conveyancing (without mortgage)</t>
  </si>
  <si>
    <t>(no mortgage)</t>
  </si>
  <si>
    <t>countries with technical</t>
  </si>
  <si>
    <t>Nordic:</t>
  </si>
  <si>
    <t>Additional Costs for 100% Mortgage</t>
  </si>
  <si>
    <t>(additional costs for 100% mortgage)</t>
  </si>
  <si>
    <t>cost difference</t>
  </si>
  <si>
    <t>total</t>
  </si>
  <si>
    <t>Transfer Costs for Conveyancing (with partial mortgage)</t>
  </si>
  <si>
    <t>sales price + 70% mortgage</t>
  </si>
  <si>
    <t xml:space="preserve"> + 70% mortgage</t>
  </si>
  <si>
    <t>AU</t>
  </si>
  <si>
    <t>BE</t>
  </si>
  <si>
    <t>CZ</t>
  </si>
  <si>
    <t>DK</t>
  </si>
  <si>
    <t>EN</t>
  </si>
  <si>
    <t>FI</t>
  </si>
  <si>
    <t>FR</t>
  </si>
  <si>
    <t>DE</t>
  </si>
  <si>
    <t>EL</t>
  </si>
  <si>
    <t>HU</t>
  </si>
  <si>
    <t>IR</t>
  </si>
  <si>
    <t>IT</t>
  </si>
  <si>
    <t>NL</t>
  </si>
  <si>
    <t>SC</t>
  </si>
  <si>
    <t>SL</t>
  </si>
  <si>
    <t>ES</t>
  </si>
  <si>
    <t>SW</t>
  </si>
  <si>
    <t>av.</t>
  </si>
  <si>
    <t>(calculated proportionally from the figures for a sale without and for a sale with a 100% mortgage)</t>
  </si>
  <si>
    <t>Transaction costs for various price levels (including 70% mortgage)</t>
  </si>
  <si>
    <t>total costs</t>
  </si>
  <si>
    <t>Transaction costs for 100,000 € and 250,000 € (including 70% mortgage)</t>
  </si>
  <si>
    <t>Czech Rep. (solic)</t>
  </si>
  <si>
    <t>Czech Republic: Legal fees are quoted only for advocats, who are involved in about 70% of all land sales.</t>
  </si>
  <si>
    <t>Hungary: Legal fees are quoted only for advocats, who handle more than 95% of all land sales.</t>
  </si>
  <si>
    <t>Czech Rep. (solicitor)</t>
  </si>
  <si>
    <t>country average (incl. Greece)</t>
  </si>
  <si>
    <t>Price</t>
  </si>
  <si>
    <t>Professional Fees for Legal Services for Conveyancing (including 70% mortgage)</t>
  </si>
  <si>
    <t>Professional Fees for Legal Services for Conveyancing (without mortgage)</t>
  </si>
  <si>
    <t>Professional Fees for Legal Services for Conveyancing including 100% Mortgage</t>
  </si>
  <si>
    <t>Professional Fees for Legal Services for additonal 100% Mortgage</t>
  </si>
  <si>
    <t xml:space="preserve">Sum of all professional fees </t>
  </si>
  <si>
    <t>Profess. fees (agent/techn/legal)</t>
  </si>
  <si>
    <t>indexed fee/average price</t>
  </si>
  <si>
    <t>total transfer costs</t>
  </si>
  <si>
    <t>indexed costs/average price</t>
  </si>
  <si>
    <t xml:space="preserve">   total transfer costs (tax/register/fees)</t>
  </si>
  <si>
    <t>Transfer Taxes</t>
  </si>
  <si>
    <t>transfer taxes</t>
  </si>
  <si>
    <t>indexed taxes/average price</t>
  </si>
  <si>
    <t>land register fee</t>
  </si>
  <si>
    <t>Land Register Fee</t>
  </si>
  <si>
    <t>Transfer Taxes + Land Register Fee</t>
  </si>
  <si>
    <t xml:space="preserve">    transfer taxes + land register fee</t>
  </si>
  <si>
    <t>indexed tax+register/aver. price</t>
  </si>
  <si>
    <t>real estate agent</t>
  </si>
  <si>
    <t>indexed fee/av. price</t>
  </si>
  <si>
    <t>notary</t>
  </si>
  <si>
    <t>notary (deregulated)</t>
  </si>
  <si>
    <t>Nordic</t>
  </si>
  <si>
    <t>indexed by GNP/person</t>
  </si>
  <si>
    <t>indexed average price</t>
  </si>
  <si>
    <t xml:space="preserve">resident.house/ </t>
  </si>
  <si>
    <t>Netherlands:</t>
  </si>
  <si>
    <t>For the Netherlands, notarial fees were estimated based on: http://www.degoedkoopstenotaris.nl/ (using the second lowest and the second highest quote for Amsterdam for 136,000 € and 226,000 €), own estimates for 500,000 €.</t>
  </si>
  <si>
    <t xml:space="preserve">The lawyer's fees comprise the civil law notary (269, 347 or 443 €) and the gestor administrativo (210, 316 or 330 € </t>
  </si>
  <si>
    <t xml:space="preserve">The lawyer's fees comprise the civil law notary (648, 790 or 962 €) and the gestor administrativo (410, 632 or 660 € </t>
  </si>
  <si>
    <t xml:space="preserve">The notariel fees quoted include only the authentication of the transfer deed ("levering") and the mortgage, not the drafting of the sales contract, because in 70% of all sales, the real estate agent just fills out a form contract. </t>
  </si>
  <si>
    <t>Slovakia</t>
  </si>
  <si>
    <t>Portugal</t>
  </si>
  <si>
    <t>available at:</t>
  </si>
  <si>
    <t>www.newsroom.barclays.co.uk/imagelibrary/detail.asp?MediaDetailsID=4633</t>
  </si>
  <si>
    <r>
      <t xml:space="preserve">raw data used from: Woolwich and University of Greenwich School of Architecture and Construction (2006), </t>
    </r>
    <r>
      <rPr>
        <i/>
        <sz val="10"/>
        <rFont val="Arial"/>
        <family val="2"/>
      </rPr>
      <t>Cost of Moving Home Survey 2006,</t>
    </r>
  </si>
  <si>
    <t>PT</t>
  </si>
  <si>
    <t>SK</t>
  </si>
  <si>
    <t xml:space="preserve">England solicitors' fees and land register does not include search fee (flat fee of 207 GPB = 311 Euro). </t>
  </si>
  <si>
    <t>PL</t>
  </si>
  <si>
    <t># countries</t>
  </si>
  <si>
    <t>total number of countries</t>
  </si>
  <si>
    <t>(provisional figures! - last changes 15. February 2007)</t>
  </si>
  <si>
    <t xml:space="preserve">On top of the buyer's lawyer's fee (flat fee of 1,013 €), we estimated the share of the legal services of the real estate agent as a flat fee of 500 € (same as in Finland and Sweden). </t>
  </si>
  <si>
    <t xml:space="preserve"> </t>
  </si>
  <si>
    <t>and banking fee for the mortgage: 353€</t>
  </si>
  <si>
    <t>England and Wales</t>
  </si>
  <si>
    <t>EastE</t>
  </si>
  <si>
    <t>WestE</t>
  </si>
  <si>
    <t>Ireland</t>
  </si>
  <si>
    <t>Hungary</t>
  </si>
  <si>
    <t>Austria</t>
  </si>
  <si>
    <t>England/Wales</t>
  </si>
  <si>
    <t>USING NET INCOME</t>
  </si>
  <si>
    <t xml:space="preserve">EU 25 </t>
  </si>
  <si>
    <t xml:space="preserve">Czech Rep. </t>
  </si>
  <si>
    <t xml:space="preserve">Hungary </t>
  </si>
  <si>
    <t>ADJUSTED BY NET INCOME</t>
  </si>
  <si>
    <t>price (ap)</t>
  </si>
  <si>
    <t>MERI</t>
  </si>
  <si>
    <t>+MCRI</t>
  </si>
  <si>
    <t>MII</t>
  </si>
  <si>
    <t>AT</t>
  </si>
  <si>
    <t>EW</t>
  </si>
  <si>
    <t>G</t>
  </si>
  <si>
    <t>SI</t>
  </si>
  <si>
    <t>GR</t>
  </si>
  <si>
    <t>Civil law notaries</t>
  </si>
  <si>
    <t>R2</t>
  </si>
  <si>
    <t>Correlations</t>
  </si>
  <si>
    <t>Legal fee as a percentage of transaction value</t>
  </si>
  <si>
    <t>Isles countries</t>
  </si>
  <si>
    <t>Rest countries</t>
  </si>
  <si>
    <t>East countries</t>
  </si>
  <si>
    <t>country average (excl. Greece)</t>
  </si>
  <si>
    <t>Scandinavian countries</t>
  </si>
  <si>
    <t>using net earnings</t>
  </si>
  <si>
    <t>ave. price indexed by price level</t>
  </si>
  <si>
    <t>ave. price indexed by net earnings</t>
  </si>
  <si>
    <t>% of ave. price indexed by price level</t>
  </si>
  <si>
    <t>% of ave. price indexed by net earnings</t>
  </si>
  <si>
    <t>USING NET EARNINGS</t>
  </si>
  <si>
    <t>Isles</t>
  </si>
  <si>
    <t>sorted by increasing regulation Index</t>
  </si>
  <si>
    <t>excluding hybrid countries</t>
  </si>
  <si>
    <t>%  average price</t>
  </si>
  <si>
    <t>price level</t>
  </si>
  <si>
    <t>net earnings</t>
  </si>
  <si>
    <t>indexed by</t>
  </si>
  <si>
    <t>legal fee percent of transaction value</t>
  </si>
  <si>
    <r>
      <t xml:space="preserve">  </t>
    </r>
    <r>
      <rPr>
        <sz val="12"/>
        <rFont val="Times New Roman"/>
        <family val="1"/>
      </rPr>
      <t xml:space="preserve">  </t>
    </r>
    <r>
      <rPr>
        <sz val="10"/>
        <rFont val="Arial"/>
        <family val="2"/>
      </rPr>
      <t xml:space="preserve">500.- Euro  as part of the real estate agent's fee </t>
    </r>
  </si>
  <si>
    <r>
      <t>For Sweden the legal fees comprise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500.- Euro (estimated part of the real estate agent's fee). 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</si>
</sst>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\ &quot;€&quot;"/>
    <numFmt numFmtId="177" formatCode="[$£-809]#,##0"/>
    <numFmt numFmtId="178" formatCode="0.0%"/>
    <numFmt numFmtId="179" formatCode="#,##0.00\ &quot;€&quot;"/>
    <numFmt numFmtId="180" formatCode="#,##0.0\ &quot;€&quot;"/>
    <numFmt numFmtId="181" formatCode="#,##0\ _€"/>
    <numFmt numFmtId="182" formatCode="#,##0.00\ [$€-1];[Red]\-#,##0.00\ [$€-1]"/>
    <numFmt numFmtId="183" formatCode="#,##0\ [$€-1];[Red]\-#,##0\ [$€-1]"/>
    <numFmt numFmtId="184" formatCode="#,##0.000\ [$€-1];[Red]\-#,##0.000\ [$€-1]"/>
    <numFmt numFmtId="185" formatCode="#,##0.000"/>
    <numFmt numFmtId="186" formatCode="#,##0.0\ [$€-1];[Red]\-#,##0.0\ [$€-1]"/>
    <numFmt numFmtId="187" formatCode="0.000"/>
    <numFmt numFmtId="188" formatCode="0.0"/>
    <numFmt numFmtId="189" formatCode="#,##0.00000"/>
    <numFmt numFmtId="190" formatCode="#,##0.0"/>
  </numFmts>
  <fonts count="1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6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9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176" fontId="0" fillId="0" borderId="7" xfId="0" applyNumberFormat="1" applyBorder="1" applyAlignment="1">
      <alignment/>
    </xf>
    <xf numFmtId="176" fontId="0" fillId="0" borderId="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6" fillId="0" borderId="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/>
    </xf>
    <xf numFmtId="10" fontId="1" fillId="0" borderId="0" xfId="0" applyNumberFormat="1" applyFont="1" applyAlignment="1">
      <alignment/>
    </xf>
    <xf numFmtId="10" fontId="1" fillId="0" borderId="0" xfId="0" applyNumberFormat="1" applyFont="1" applyBorder="1" applyAlignment="1">
      <alignment/>
    </xf>
    <xf numFmtId="10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/>
    </xf>
    <xf numFmtId="10" fontId="0" fillId="0" borderId="4" xfId="0" applyNumberFormat="1" applyBorder="1" applyAlignment="1">
      <alignment horizontal="right"/>
    </xf>
    <xf numFmtId="10" fontId="0" fillId="0" borderId="5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/>
    </xf>
    <xf numFmtId="0" fontId="6" fillId="0" borderId="9" xfId="0" applyFont="1" applyBorder="1" applyAlignment="1">
      <alignment horizontal="justify" vertical="top" wrapText="1"/>
    </xf>
    <xf numFmtId="3" fontId="0" fillId="0" borderId="0" xfId="0" applyNumberFormat="1" applyBorder="1" applyAlignment="1">
      <alignment horizontal="center"/>
    </xf>
    <xf numFmtId="10" fontId="7" fillId="0" borderId="4" xfId="0" applyNumberFormat="1" applyFont="1" applyBorder="1" applyAlignment="1">
      <alignment/>
    </xf>
    <xf numFmtId="10" fontId="7" fillId="0" borderId="5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10" fontId="0" fillId="0" borderId="2" xfId="0" applyNumberFormat="1" applyFont="1" applyFill="1" applyBorder="1" applyAlignment="1">
      <alignment/>
    </xf>
    <xf numFmtId="10" fontId="7" fillId="0" borderId="0" xfId="0" applyNumberFormat="1" applyFont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0" fontId="1" fillId="0" borderId="9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10" fontId="1" fillId="0" borderId="8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right"/>
    </xf>
    <xf numFmtId="0" fontId="0" fillId="0" borderId="10" xfId="0" applyBorder="1" applyAlignment="1">
      <alignment horizontal="left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0" fontId="1" fillId="0" borderId="6" xfId="0" applyNumberFormat="1" applyFont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0" fontId="0" fillId="0" borderId="4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176" fontId="1" fillId="0" borderId="13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6" fontId="3" fillId="0" borderId="2" xfId="0" applyNumberFormat="1" applyFont="1" applyBorder="1" applyAlignment="1">
      <alignment horizontal="right"/>
    </xf>
    <xf numFmtId="0" fontId="0" fillId="0" borderId="2" xfId="0" applyFill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176" fontId="6" fillId="0" borderId="15" xfId="0" applyNumberFormat="1" applyFont="1" applyBorder="1" applyAlignment="1">
      <alignment horizontal="right" vertical="top" wrapText="1"/>
    </xf>
    <xf numFmtId="176" fontId="0" fillId="0" borderId="6" xfId="0" applyNumberFormat="1" applyFont="1" applyBorder="1" applyAlignment="1">
      <alignment/>
    </xf>
    <xf numFmtId="178" fontId="0" fillId="0" borderId="4" xfId="0" applyNumberFormat="1" applyFon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4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6" fontId="0" fillId="0" borderId="0" xfId="0" applyNumberFormat="1" applyBorder="1" applyAlignment="1">
      <alignment/>
    </xf>
    <xf numFmtId="6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6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 horizontal="center"/>
    </xf>
    <xf numFmtId="10" fontId="0" fillId="0" borderId="3" xfId="0" applyNumberFormat="1" applyFont="1" applyBorder="1" applyAlignment="1">
      <alignment horizontal="right"/>
    </xf>
    <xf numFmtId="10" fontId="0" fillId="0" borderId="4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10" fontId="0" fillId="0" borderId="5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0" fontId="8" fillId="0" borderId="0" xfId="0" applyFont="1" applyAlignment="1">
      <alignment horizontal="left"/>
    </xf>
    <xf numFmtId="6" fontId="0" fillId="0" borderId="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6" fontId="7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1" fillId="0" borderId="0" xfId="0" applyFont="1" applyAlignment="1">
      <alignment horizontal="left"/>
    </xf>
    <xf numFmtId="176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2" fillId="0" borderId="9" xfId="0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176" fontId="3" fillId="0" borderId="1" xfId="0" applyNumberFormat="1" applyFont="1" applyBorder="1" applyAlignment="1">
      <alignment/>
    </xf>
    <xf numFmtId="176" fontId="0" fillId="0" borderId="6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176" fontId="0" fillId="0" borderId="12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76" fontId="0" fillId="0" borderId="3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2" xfId="0" applyNumberFormat="1" applyBorder="1" applyAlignment="1">
      <alignment/>
    </xf>
    <xf numFmtId="178" fontId="0" fillId="0" borderId="9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6" xfId="0" applyNumberForma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7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1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10" fontId="0" fillId="0" borderId="3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1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20" applyFont="1" applyAlignment="1">
      <alignment/>
    </xf>
    <xf numFmtId="176" fontId="0" fillId="0" borderId="1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176" fontId="10" fillId="0" borderId="8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9" fontId="0" fillId="0" borderId="4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0" fontId="0" fillId="0" borderId="12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0" fontId="0" fillId="0" borderId="14" xfId="0" applyNumberFormat="1" applyFont="1" applyFill="1" applyBorder="1" applyAlignment="1">
      <alignment horizontal="right"/>
    </xf>
    <xf numFmtId="10" fontId="0" fillId="0" borderId="13" xfId="0" applyNumberFormat="1" applyFont="1" applyFill="1" applyBorder="1" applyAlignment="1">
      <alignment horizontal="right"/>
    </xf>
    <xf numFmtId="6" fontId="1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76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76" fontId="1" fillId="0" borderId="5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1" fillId="0" borderId="12" xfId="0" applyNumberFormat="1" applyFont="1" applyFill="1" applyBorder="1" applyAlignment="1">
      <alignment/>
    </xf>
    <xf numFmtId="176" fontId="1" fillId="0" borderId="13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vertical="top" wrapText="1"/>
    </xf>
    <xf numFmtId="10" fontId="0" fillId="0" borderId="4" xfId="0" applyNumberFormat="1" applyFont="1" applyFill="1" applyBorder="1" applyAlignment="1">
      <alignment/>
    </xf>
    <xf numFmtId="10" fontId="0" fillId="0" borderId="5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 horizontal="right"/>
    </xf>
    <xf numFmtId="176" fontId="1" fillId="0" borderId="14" xfId="0" applyNumberFormat="1" applyFont="1" applyFill="1" applyBorder="1" applyAlignment="1">
      <alignment/>
    </xf>
    <xf numFmtId="10" fontId="7" fillId="0" borderId="4" xfId="0" applyNumberFormat="1" applyFont="1" applyFill="1" applyBorder="1" applyAlignment="1">
      <alignment/>
    </xf>
    <xf numFmtId="10" fontId="7" fillId="0" borderId="5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justify" vertical="top" wrapText="1"/>
    </xf>
    <xf numFmtId="176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justify" vertical="top" wrapText="1"/>
    </xf>
    <xf numFmtId="10" fontId="1" fillId="0" borderId="6" xfId="0" applyNumberFormat="1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10" fontId="1" fillId="0" borderId="9" xfId="0" applyNumberFormat="1" applyFont="1" applyFill="1" applyBorder="1" applyAlignment="1">
      <alignment/>
    </xf>
    <xf numFmtId="10" fontId="1" fillId="0" borderId="8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justify" vertical="top" wrapText="1"/>
    </xf>
    <xf numFmtId="10" fontId="1" fillId="0" borderId="0" xfId="0" applyNumberFormat="1" applyFont="1" applyFill="1" applyAlignment="1">
      <alignment/>
    </xf>
    <xf numFmtId="10" fontId="1" fillId="0" borderId="2" xfId="0" applyNumberFormat="1" applyFont="1" applyFill="1" applyBorder="1" applyAlignment="1">
      <alignment/>
    </xf>
    <xf numFmtId="176" fontId="1" fillId="0" borderId="2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0" fontId="7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justify" vertical="top" wrapText="1"/>
    </xf>
    <xf numFmtId="0" fontId="0" fillId="0" borderId="6" xfId="0" applyFont="1" applyFill="1" applyBorder="1" applyAlignment="1">
      <alignment horizontal="justify" vertical="top" wrapText="1"/>
    </xf>
    <xf numFmtId="176" fontId="1" fillId="0" borderId="11" xfId="0" applyNumberFormat="1" applyFont="1" applyFill="1" applyBorder="1" applyAlignment="1">
      <alignment/>
    </xf>
    <xf numFmtId="9" fontId="1" fillId="0" borderId="4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/>
    </xf>
    <xf numFmtId="176" fontId="3" fillId="0" borderId="2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176" fontId="6" fillId="0" borderId="15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176" fontId="3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6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176" fontId="7" fillId="0" borderId="4" xfId="0" applyNumberFormat="1" applyFont="1" applyFill="1" applyBorder="1" applyAlignment="1">
      <alignment/>
    </xf>
    <xf numFmtId="178" fontId="0" fillId="0" borderId="4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10" fontId="0" fillId="0" borderId="4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justify" vertical="top" wrapText="1"/>
    </xf>
    <xf numFmtId="176" fontId="1" fillId="0" borderId="10" xfId="0" applyNumberFormat="1" applyFont="1" applyFill="1" applyBorder="1" applyAlignment="1">
      <alignment/>
    </xf>
    <xf numFmtId="176" fontId="1" fillId="0" borderId="9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176" fontId="1" fillId="0" borderId="8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0" fontId="1" fillId="0" borderId="7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6" fontId="0" fillId="0" borderId="1" xfId="0" applyNumberFormat="1" applyFont="1" applyFill="1" applyBorder="1" applyAlignment="1">
      <alignment horizontal="center"/>
    </xf>
    <xf numFmtId="10" fontId="0" fillId="0" borderId="2" xfId="0" applyNumberFormat="1" applyFont="1" applyFill="1" applyBorder="1" applyAlignment="1">
      <alignment horizontal="right"/>
    </xf>
    <xf numFmtId="10" fontId="0" fillId="0" borderId="1" xfId="0" applyNumberFormat="1" applyFont="1" applyFill="1" applyBorder="1" applyAlignment="1">
      <alignment horizontal="right"/>
    </xf>
    <xf numFmtId="10" fontId="0" fillId="0" borderId="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0" fontId="0" fillId="0" borderId="6" xfId="0" applyNumberFormat="1" applyFont="1" applyFill="1" applyBorder="1" applyAlignment="1">
      <alignment horizontal="right"/>
    </xf>
    <xf numFmtId="10" fontId="0" fillId="0" borderId="7" xfId="0" applyNumberFormat="1" applyFont="1" applyFill="1" applyBorder="1" applyAlignment="1">
      <alignment horizontal="right"/>
    </xf>
    <xf numFmtId="10" fontId="0" fillId="0" borderId="11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6" fontId="1" fillId="0" borderId="1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10" fontId="1" fillId="0" borderId="15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9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10" fontId="0" fillId="0" borderId="4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4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5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9" fontId="0" fillId="0" borderId="4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10" fontId="0" fillId="0" borderId="6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7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9" fontId="0" fillId="0" borderId="6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6" fontId="0" fillId="0" borderId="4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6" fontId="0" fillId="0" borderId="4" xfId="0" applyNumberFormat="1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6" fontId="0" fillId="0" borderId="5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8" fontId="0" fillId="0" borderId="9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8" fontId="0" fillId="0" borderId="2" xfId="0" applyNumberFormat="1" applyFont="1" applyFill="1" applyBorder="1" applyAlignment="1">
      <alignment/>
    </xf>
    <xf numFmtId="10" fontId="1" fillId="0" borderId="3" xfId="0" applyNumberFormat="1" applyFont="1" applyFill="1" applyBorder="1" applyAlignment="1">
      <alignment/>
    </xf>
    <xf numFmtId="10" fontId="1" fillId="0" borderId="5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6" fontId="0" fillId="0" borderId="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6" fontId="0" fillId="0" borderId="4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6" fontId="0" fillId="0" borderId="4" xfId="0" applyNumberFormat="1" applyFont="1" applyFill="1" applyBorder="1" applyAlignment="1">
      <alignment horizontal="left"/>
    </xf>
    <xf numFmtId="6" fontId="0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0" fontId="0" fillId="0" borderId="1" xfId="0" applyNumberFormat="1" applyFont="1" applyFill="1" applyBorder="1" applyAlignment="1">
      <alignment/>
    </xf>
    <xf numFmtId="10" fontId="0" fillId="0" borderId="2" xfId="0" applyNumberFormat="1" applyFont="1" applyFill="1" applyBorder="1" applyAlignment="1">
      <alignment/>
    </xf>
    <xf numFmtId="10" fontId="0" fillId="0" borderId="1" xfId="0" applyNumberFormat="1" applyFont="1" applyFill="1" applyBorder="1" applyAlignment="1">
      <alignment/>
    </xf>
    <xf numFmtId="10" fontId="0" fillId="0" borderId="1" xfId="0" applyNumberFormat="1" applyFont="1" applyFill="1" applyBorder="1" applyAlignment="1">
      <alignment/>
    </xf>
    <xf numFmtId="10" fontId="0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0" fontId="0" fillId="0" borderId="6" xfId="0" applyNumberFormat="1" applyFont="1" applyFill="1" applyBorder="1" applyAlignment="1">
      <alignment/>
    </xf>
    <xf numFmtId="10" fontId="0" fillId="0" borderId="7" xfId="0" applyNumberFormat="1" applyFont="1" applyFill="1" applyBorder="1" applyAlignment="1">
      <alignment/>
    </xf>
    <xf numFmtId="10" fontId="0" fillId="0" borderId="6" xfId="0" applyNumberFormat="1" applyFont="1" applyFill="1" applyBorder="1" applyAlignment="1">
      <alignment/>
    </xf>
    <xf numFmtId="10" fontId="0" fillId="0" borderId="7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0" fontId="13" fillId="0" borderId="0" xfId="20" applyFont="1" applyFill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10" fontId="0" fillId="0" borderId="5" xfId="21" applyNumberFormat="1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10" fontId="0" fillId="0" borderId="11" xfId="21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0" fillId="0" borderId="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0" fontId="0" fillId="0" borderId="0" xfId="21" applyNumberFormat="1" applyFont="1" applyFill="1" applyAlignment="1">
      <alignment/>
    </xf>
    <xf numFmtId="176" fontId="0" fillId="0" borderId="1" xfId="0" applyNumberFormat="1" applyFont="1" applyFill="1" applyBorder="1" applyAlignment="1">
      <alignment/>
    </xf>
    <xf numFmtId="10" fontId="0" fillId="0" borderId="3" xfId="0" applyNumberFormat="1" applyFont="1" applyFill="1" applyBorder="1" applyAlignment="1">
      <alignment/>
    </xf>
    <xf numFmtId="10" fontId="0" fillId="0" borderId="13" xfId="21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0" fontId="0" fillId="0" borderId="12" xfId="21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0" fontId="0" fillId="0" borderId="14" xfId="21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sroom.barclays.co.uk/imagelibrary/detail.asp?MediaDetailsID=463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sroom.barclays.co.uk/imagelibrary/detail.asp?MediaDetailsID=4633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191"/>
  <sheetViews>
    <sheetView tabSelected="1" workbookViewId="0" topLeftCell="A1">
      <selection activeCell="BE40" sqref="BE40"/>
    </sheetView>
  </sheetViews>
  <sheetFormatPr defaultColWidth="9.140625" defaultRowHeight="12.75"/>
  <cols>
    <col min="1" max="1" width="12.7109375" style="0" customWidth="1"/>
    <col min="2" max="2" width="18.7109375" style="0" customWidth="1"/>
    <col min="3" max="10" width="11.7109375" style="0" customWidth="1"/>
    <col min="11" max="13" width="8.7109375" style="0" customWidth="1"/>
    <col min="14" max="17" width="9.7109375" style="0" customWidth="1"/>
    <col min="18" max="18" width="8.7109375" style="0" customWidth="1"/>
    <col min="19" max="20" width="9.7109375" style="0" customWidth="1"/>
    <col min="21" max="21" width="8.7109375" style="0" customWidth="1"/>
    <col min="22" max="22" width="9.7109375" style="0" customWidth="1"/>
    <col min="23" max="25" width="8.7109375" style="0" customWidth="1"/>
    <col min="26" max="26" width="2.7109375" style="0" customWidth="1"/>
    <col min="27" max="16384" width="11.57421875" style="0" customWidth="1"/>
  </cols>
  <sheetData>
    <row r="1" ht="12.75">
      <c r="D1" s="6" t="s">
        <v>118</v>
      </c>
    </row>
    <row r="2" spans="4:6" ht="12.75">
      <c r="D2" t="s">
        <v>201</v>
      </c>
      <c r="E2" t="s">
        <v>201</v>
      </c>
      <c r="F2" t="s">
        <v>201</v>
      </c>
    </row>
    <row r="3" ht="12.75">
      <c r="D3" s="1"/>
    </row>
    <row r="4" spans="2:26" ht="12.75">
      <c r="B4" s="7"/>
      <c r="C4" s="8"/>
      <c r="D4" s="9">
        <v>100000</v>
      </c>
      <c r="E4" s="10" t="s">
        <v>119</v>
      </c>
      <c r="F4" s="8"/>
      <c r="G4" s="8"/>
      <c r="H4" s="8"/>
      <c r="I4" s="8"/>
      <c r="J4" s="8"/>
      <c r="K4" s="11"/>
      <c r="M4" s="34"/>
      <c r="N4" s="40" t="s">
        <v>28</v>
      </c>
      <c r="O4" s="30"/>
      <c r="P4" s="11"/>
      <c r="Q4" s="7"/>
      <c r="R4" s="30" t="s">
        <v>21</v>
      </c>
      <c r="S4" s="11"/>
      <c r="T4" s="7"/>
      <c r="U4" s="30" t="s">
        <v>24</v>
      </c>
      <c r="V4" s="11"/>
      <c r="W4" s="7"/>
      <c r="X4" s="30" t="s">
        <v>39</v>
      </c>
      <c r="Y4" s="11"/>
      <c r="Z4" s="2"/>
    </row>
    <row r="5" spans="2:26" ht="12.75">
      <c r="B5" s="12"/>
      <c r="C5" s="2"/>
      <c r="D5" s="2"/>
      <c r="E5" s="2"/>
      <c r="F5" s="2"/>
      <c r="G5" s="2"/>
      <c r="H5" s="2"/>
      <c r="I5" s="2"/>
      <c r="J5" s="2"/>
      <c r="K5" s="13"/>
      <c r="M5" s="37"/>
      <c r="N5" s="38" t="s">
        <v>29</v>
      </c>
      <c r="O5" s="38"/>
      <c r="P5" s="39"/>
      <c r="Q5" s="12"/>
      <c r="R5" s="38" t="s">
        <v>29</v>
      </c>
      <c r="S5" s="13"/>
      <c r="T5" s="12"/>
      <c r="U5" s="38" t="s">
        <v>29</v>
      </c>
      <c r="V5" s="13"/>
      <c r="W5" s="12"/>
      <c r="X5" s="38" t="s">
        <v>29</v>
      </c>
      <c r="Y5" s="13"/>
      <c r="Z5" s="2"/>
    </row>
    <row r="6" spans="2:26" ht="12.75">
      <c r="B6" s="56" t="s">
        <v>11</v>
      </c>
      <c r="C6" s="58" t="s">
        <v>40</v>
      </c>
      <c r="D6" s="58" t="s">
        <v>32</v>
      </c>
      <c r="E6" s="58" t="s">
        <v>46</v>
      </c>
      <c r="F6" s="58" t="s">
        <v>33</v>
      </c>
      <c r="G6" s="58" t="s">
        <v>17</v>
      </c>
      <c r="H6" s="58" t="s">
        <v>34</v>
      </c>
      <c r="I6" s="58" t="s">
        <v>36</v>
      </c>
      <c r="J6" s="58" t="s">
        <v>42</v>
      </c>
      <c r="K6" s="59" t="s">
        <v>18</v>
      </c>
      <c r="L6" s="23"/>
      <c r="M6" s="57" t="s">
        <v>37</v>
      </c>
      <c r="N6" s="58" t="s">
        <v>22</v>
      </c>
      <c r="O6" s="58" t="s">
        <v>23</v>
      </c>
      <c r="P6" s="60" t="s">
        <v>38</v>
      </c>
      <c r="Q6" s="61" t="s">
        <v>22</v>
      </c>
      <c r="R6" s="62" t="s">
        <v>23</v>
      </c>
      <c r="S6" s="60" t="s">
        <v>38</v>
      </c>
      <c r="T6" s="61" t="s">
        <v>25</v>
      </c>
      <c r="U6" s="62" t="s">
        <v>26</v>
      </c>
      <c r="V6" s="60" t="s">
        <v>47</v>
      </c>
      <c r="W6" s="61" t="s">
        <v>25</v>
      </c>
      <c r="X6" s="62" t="s">
        <v>26</v>
      </c>
      <c r="Y6" s="60" t="s">
        <v>47</v>
      </c>
      <c r="Z6" s="24"/>
    </row>
    <row r="7" spans="2:26" ht="12.75">
      <c r="B7" s="14" t="s">
        <v>12</v>
      </c>
      <c r="C7" s="15">
        <v>6000</v>
      </c>
      <c r="D7" s="16" t="s">
        <v>43</v>
      </c>
      <c r="E7" s="15">
        <v>1400</v>
      </c>
      <c r="F7" s="15">
        <f>D4*0.01</f>
        <v>1000</v>
      </c>
      <c r="G7" s="15">
        <f>D4*0.035</f>
        <v>3500.0000000000005</v>
      </c>
      <c r="H7" s="80">
        <f>SUM(C7:G7)</f>
        <v>11900</v>
      </c>
      <c r="I7" s="15">
        <f>SUM(C7:F7)</f>
        <v>8400</v>
      </c>
      <c r="J7" s="15">
        <f>SUM(C7:E7)</f>
        <v>7400</v>
      </c>
      <c r="K7" s="83">
        <v>0.2</v>
      </c>
      <c r="L7" s="4"/>
      <c r="M7" s="35">
        <f>H7/100000</f>
        <v>0.119</v>
      </c>
      <c r="N7" s="33">
        <f>G7/100000</f>
        <v>0.035</v>
      </c>
      <c r="O7" s="33">
        <f>F7/100000</f>
        <v>0.01</v>
      </c>
      <c r="P7" s="36">
        <f>J7/100000</f>
        <v>0.074</v>
      </c>
      <c r="Q7" s="26">
        <f>G7/H7</f>
        <v>0.2941176470588236</v>
      </c>
      <c r="R7" s="27">
        <f>F7/H7</f>
        <v>0.08403361344537816</v>
      </c>
      <c r="S7" s="28">
        <f>J7/H7</f>
        <v>0.6218487394957983</v>
      </c>
      <c r="T7" s="26">
        <f>C7/J7</f>
        <v>0.8108108108108109</v>
      </c>
      <c r="U7" s="27"/>
      <c r="V7" s="28">
        <f>E7/J7</f>
        <v>0.1891891891891892</v>
      </c>
      <c r="W7" s="26">
        <f>C7/100000</f>
        <v>0.06</v>
      </c>
      <c r="X7" s="27"/>
      <c r="Y7" s="28">
        <f>E7/100000</f>
        <v>0.014</v>
      </c>
      <c r="Z7" s="27"/>
    </row>
    <row r="8" spans="2:26" ht="15.75">
      <c r="B8" s="14" t="s">
        <v>13</v>
      </c>
      <c r="C8" s="15">
        <f>D4*0.03</f>
        <v>3000</v>
      </c>
      <c r="D8" s="16" t="s">
        <v>43</v>
      </c>
      <c r="E8" s="15">
        <v>1594</v>
      </c>
      <c r="F8" s="15">
        <v>330</v>
      </c>
      <c r="G8" s="15">
        <f>D4*0.115</f>
        <v>11500</v>
      </c>
      <c r="H8" s="81">
        <f aca="true" t="shared" si="0" ref="H8:H26">SUM(C8:G8)</f>
        <v>16424</v>
      </c>
      <c r="I8" s="15">
        <f aca="true" t="shared" si="1" ref="I8:I26">SUM(C8:F8)</f>
        <v>4924</v>
      </c>
      <c r="J8" s="15">
        <f aca="true" t="shared" si="2" ref="J8:J26">SUM(C8:E8)</f>
        <v>4594</v>
      </c>
      <c r="K8" s="84">
        <v>0.21</v>
      </c>
      <c r="L8" s="5"/>
      <c r="M8" s="35">
        <f aca="true" t="shared" si="3" ref="M8:M26">H8/100000</f>
        <v>0.16424</v>
      </c>
      <c r="N8" s="33">
        <f aca="true" t="shared" si="4" ref="N8:N26">G8/100000</f>
        <v>0.115</v>
      </c>
      <c r="O8" s="33">
        <f aca="true" t="shared" si="5" ref="O8:O26">F8/100000</f>
        <v>0.0033</v>
      </c>
      <c r="P8" s="36">
        <f aca="true" t="shared" si="6" ref="P8:P26">J8/100000</f>
        <v>0.04594</v>
      </c>
      <c r="Q8" s="26">
        <f aca="true" t="shared" si="7" ref="Q8:Q26">G8/H8</f>
        <v>0.7001948368241597</v>
      </c>
      <c r="R8" s="27">
        <f aca="true" t="shared" si="8" ref="R8:R26">F8/H8</f>
        <v>0.02009254749147589</v>
      </c>
      <c r="S8" s="28">
        <f aca="true" t="shared" si="9" ref="S8:S26">J8/H8</f>
        <v>0.27971261568436434</v>
      </c>
      <c r="T8" s="26">
        <f aca="true" t="shared" si="10" ref="T8:T26">C8/J8</f>
        <v>0.65302568567697</v>
      </c>
      <c r="U8" s="27"/>
      <c r="V8" s="28">
        <f aca="true" t="shared" si="11" ref="V8:V26">E8/J8</f>
        <v>0.34697431432303005</v>
      </c>
      <c r="W8" s="26">
        <f aca="true" t="shared" si="12" ref="W8:W26">C8/100000</f>
        <v>0.03</v>
      </c>
      <c r="X8" s="27"/>
      <c r="Y8" s="28">
        <f aca="true" t="shared" si="13" ref="Y8:Y26">E8/100000</f>
        <v>0.01594</v>
      </c>
      <c r="Z8" s="27"/>
    </row>
    <row r="9" spans="2:26" ht="15.75">
      <c r="B9" s="14" t="s">
        <v>154</v>
      </c>
      <c r="C9" s="15">
        <v>5000</v>
      </c>
      <c r="D9" s="16">
        <v>350</v>
      </c>
      <c r="E9" s="15">
        <v>500</v>
      </c>
      <c r="F9" s="15">
        <v>17</v>
      </c>
      <c r="G9" s="15">
        <v>0</v>
      </c>
      <c r="H9" s="81">
        <f t="shared" si="0"/>
        <v>5867</v>
      </c>
      <c r="I9" s="15">
        <f t="shared" si="1"/>
        <v>5867</v>
      </c>
      <c r="J9" s="15">
        <f t="shared" si="2"/>
        <v>5850</v>
      </c>
      <c r="K9" s="84">
        <v>0.19</v>
      </c>
      <c r="L9" s="5"/>
      <c r="M9" s="35">
        <f t="shared" si="3"/>
        <v>0.05867</v>
      </c>
      <c r="N9" s="33">
        <f t="shared" si="4"/>
        <v>0</v>
      </c>
      <c r="O9" s="33">
        <f t="shared" si="5"/>
        <v>0.00017</v>
      </c>
      <c r="P9" s="36">
        <f t="shared" si="6"/>
        <v>0.0585</v>
      </c>
      <c r="Q9" s="26">
        <f t="shared" si="7"/>
        <v>0</v>
      </c>
      <c r="R9" s="27">
        <f t="shared" si="8"/>
        <v>0.0028975626384864497</v>
      </c>
      <c r="S9" s="28">
        <f t="shared" si="9"/>
        <v>0.9971024373615136</v>
      </c>
      <c r="T9" s="26">
        <f t="shared" si="10"/>
        <v>0.8547008547008547</v>
      </c>
      <c r="U9" s="27">
        <f>D9/J9</f>
        <v>0.05982905982905983</v>
      </c>
      <c r="V9" s="28">
        <f t="shared" si="11"/>
        <v>0.08547008547008547</v>
      </c>
      <c r="W9" s="74">
        <f t="shared" si="12"/>
        <v>0.05</v>
      </c>
      <c r="X9" s="27">
        <f>D9/100000</f>
        <v>0.0035</v>
      </c>
      <c r="Y9" s="75">
        <f t="shared" si="13"/>
        <v>0.005</v>
      </c>
      <c r="Z9" s="27"/>
    </row>
    <row r="10" spans="2:26" ht="15.75">
      <c r="B10" s="12" t="s">
        <v>14</v>
      </c>
      <c r="C10" s="18">
        <v>4147</v>
      </c>
      <c r="D10" s="18">
        <v>1020</v>
      </c>
      <c r="E10" s="18">
        <v>1013</v>
      </c>
      <c r="F10" s="18">
        <v>787</v>
      </c>
      <c r="G10" s="18">
        <v>0</v>
      </c>
      <c r="H10" s="81">
        <f t="shared" si="0"/>
        <v>6967</v>
      </c>
      <c r="I10" s="15">
        <f t="shared" si="1"/>
        <v>6967</v>
      </c>
      <c r="J10" s="15">
        <f t="shared" si="2"/>
        <v>6180</v>
      </c>
      <c r="K10" s="84">
        <v>0.25</v>
      </c>
      <c r="L10" s="5"/>
      <c r="M10" s="35">
        <f t="shared" si="3"/>
        <v>0.06967</v>
      </c>
      <c r="N10" s="33">
        <f t="shared" si="4"/>
        <v>0</v>
      </c>
      <c r="O10" s="33">
        <f t="shared" si="5"/>
        <v>0.00787</v>
      </c>
      <c r="P10" s="36">
        <f t="shared" si="6"/>
        <v>0.0618</v>
      </c>
      <c r="Q10" s="26">
        <f t="shared" si="7"/>
        <v>0</v>
      </c>
      <c r="R10" s="27">
        <f t="shared" si="8"/>
        <v>0.11296110233960098</v>
      </c>
      <c r="S10" s="28">
        <f t="shared" si="9"/>
        <v>0.887038897660399</v>
      </c>
      <c r="T10" s="26">
        <f t="shared" si="10"/>
        <v>0.6710355987055017</v>
      </c>
      <c r="U10" s="27">
        <f>D10/J10</f>
        <v>0.1650485436893204</v>
      </c>
      <c r="V10" s="28">
        <f t="shared" si="11"/>
        <v>0.163915857605178</v>
      </c>
      <c r="W10" s="44">
        <f t="shared" si="12"/>
        <v>0.04147</v>
      </c>
      <c r="X10" s="27">
        <f>D10/100000</f>
        <v>0.0102</v>
      </c>
      <c r="Y10" s="45">
        <f t="shared" si="13"/>
        <v>0.01013</v>
      </c>
      <c r="Z10" s="55"/>
    </row>
    <row r="11" spans="2:26" ht="15.75">
      <c r="B11" s="12" t="s">
        <v>0</v>
      </c>
      <c r="C11" s="18">
        <v>1651</v>
      </c>
      <c r="D11" s="18">
        <f>300*1.5</f>
        <v>450</v>
      </c>
      <c r="E11" s="18">
        <v>990</v>
      </c>
      <c r="F11" s="18">
        <f>60*1.5</f>
        <v>90</v>
      </c>
      <c r="G11" s="18">
        <v>0</v>
      </c>
      <c r="H11" s="81">
        <f t="shared" si="0"/>
        <v>3181</v>
      </c>
      <c r="I11" s="15">
        <f t="shared" si="1"/>
        <v>3181</v>
      </c>
      <c r="J11" s="15">
        <f t="shared" si="2"/>
        <v>3091</v>
      </c>
      <c r="K11" s="84">
        <v>0.175</v>
      </c>
      <c r="L11" s="5"/>
      <c r="M11" s="35">
        <f t="shared" si="3"/>
        <v>0.03181</v>
      </c>
      <c r="N11" s="33">
        <f t="shared" si="4"/>
        <v>0</v>
      </c>
      <c r="O11" s="33">
        <f t="shared" si="5"/>
        <v>0.0009</v>
      </c>
      <c r="P11" s="36">
        <f t="shared" si="6"/>
        <v>0.03091</v>
      </c>
      <c r="Q11" s="26">
        <f t="shared" si="7"/>
        <v>0</v>
      </c>
      <c r="R11" s="27">
        <f t="shared" si="8"/>
        <v>0.028292989625903806</v>
      </c>
      <c r="S11" s="28">
        <f t="shared" si="9"/>
        <v>0.9717070103740962</v>
      </c>
      <c r="T11" s="26">
        <f t="shared" si="10"/>
        <v>0.5341313490779683</v>
      </c>
      <c r="U11" s="27">
        <f>D11/J11</f>
        <v>0.1455839534131349</v>
      </c>
      <c r="V11" s="28">
        <f t="shared" si="11"/>
        <v>0.3202846975088968</v>
      </c>
      <c r="W11" s="26">
        <f t="shared" si="12"/>
        <v>0.01651</v>
      </c>
      <c r="X11" s="27">
        <f>D11/100000</f>
        <v>0.0045</v>
      </c>
      <c r="Y11" s="28">
        <f t="shared" si="13"/>
        <v>0.0099</v>
      </c>
      <c r="Z11" s="27"/>
    </row>
    <row r="12" spans="2:26" ht="15.75">
      <c r="B12" s="12" t="s">
        <v>1</v>
      </c>
      <c r="C12" s="18">
        <f>D4*0.03125</f>
        <v>3125</v>
      </c>
      <c r="D12" s="18">
        <v>600</v>
      </c>
      <c r="E12" s="18">
        <v>77</v>
      </c>
      <c r="F12" s="18">
        <v>65</v>
      </c>
      <c r="G12" s="18">
        <v>4000</v>
      </c>
      <c r="H12" s="81">
        <f t="shared" si="0"/>
        <v>7867</v>
      </c>
      <c r="I12" s="15">
        <f t="shared" si="1"/>
        <v>3867</v>
      </c>
      <c r="J12" s="15">
        <f t="shared" si="2"/>
        <v>3802</v>
      </c>
      <c r="K12" s="84">
        <v>0.28</v>
      </c>
      <c r="L12" s="5"/>
      <c r="M12" s="35">
        <f t="shared" si="3"/>
        <v>0.07867</v>
      </c>
      <c r="N12" s="33">
        <f t="shared" si="4"/>
        <v>0.04</v>
      </c>
      <c r="O12" s="33">
        <f t="shared" si="5"/>
        <v>0.00065</v>
      </c>
      <c r="P12" s="36">
        <f t="shared" si="6"/>
        <v>0.03802</v>
      </c>
      <c r="Q12" s="26">
        <f t="shared" si="7"/>
        <v>0.5084530316512013</v>
      </c>
      <c r="R12" s="27">
        <f t="shared" si="8"/>
        <v>0.00826236176433202</v>
      </c>
      <c r="S12" s="28">
        <f t="shared" si="9"/>
        <v>0.48328460658446676</v>
      </c>
      <c r="T12" s="26">
        <f t="shared" si="10"/>
        <v>0.8219358232509205</v>
      </c>
      <c r="U12" s="27">
        <f>D12/J12</f>
        <v>0.15781167806417676</v>
      </c>
      <c r="V12" s="28">
        <f t="shared" si="11"/>
        <v>0.020252498684902684</v>
      </c>
      <c r="W12" s="44">
        <f t="shared" si="12"/>
        <v>0.03125</v>
      </c>
      <c r="X12" s="27">
        <f>D12/100000</f>
        <v>0.006</v>
      </c>
      <c r="Y12" s="45">
        <f t="shared" si="13"/>
        <v>0.00077</v>
      </c>
      <c r="Z12" s="55"/>
    </row>
    <row r="13" spans="2:26" ht="15.75">
      <c r="B13" s="12" t="s">
        <v>2</v>
      </c>
      <c r="C13" s="18">
        <f>D4*0.08</f>
        <v>8000</v>
      </c>
      <c r="D13" s="16">
        <v>500</v>
      </c>
      <c r="E13" s="18">
        <v>1153</v>
      </c>
      <c r="F13" s="18">
        <f>D4*0.001</f>
        <v>100</v>
      </c>
      <c r="G13" s="18">
        <f>D4*0.0506</f>
        <v>5060</v>
      </c>
      <c r="H13" s="81">
        <f t="shared" si="0"/>
        <v>14813</v>
      </c>
      <c r="I13" s="15">
        <f t="shared" si="1"/>
        <v>9753</v>
      </c>
      <c r="J13" s="15">
        <f t="shared" si="2"/>
        <v>9653</v>
      </c>
      <c r="K13" s="84">
        <v>0.196</v>
      </c>
      <c r="L13" s="5"/>
      <c r="M13" s="35">
        <f t="shared" si="3"/>
        <v>0.14813</v>
      </c>
      <c r="N13" s="33">
        <f t="shared" si="4"/>
        <v>0.0506</v>
      </c>
      <c r="O13" s="33">
        <f t="shared" si="5"/>
        <v>0.001</v>
      </c>
      <c r="P13" s="36">
        <f t="shared" si="6"/>
        <v>0.09653</v>
      </c>
      <c r="Q13" s="26">
        <f t="shared" si="7"/>
        <v>0.34159184500101264</v>
      </c>
      <c r="R13" s="27">
        <f t="shared" si="8"/>
        <v>0.006750826976304598</v>
      </c>
      <c r="S13" s="28">
        <f t="shared" si="9"/>
        <v>0.6516573280226827</v>
      </c>
      <c r="T13" s="26">
        <f t="shared" si="10"/>
        <v>0.8287578990987258</v>
      </c>
      <c r="U13" s="27">
        <f>D13/J13</f>
        <v>0.05179736869367036</v>
      </c>
      <c r="V13" s="28">
        <f t="shared" si="11"/>
        <v>0.11944473220760385</v>
      </c>
      <c r="W13" s="26">
        <f t="shared" si="12"/>
        <v>0.08</v>
      </c>
      <c r="X13" s="27">
        <f>D13/100000</f>
        <v>0.005</v>
      </c>
      <c r="Y13" s="28">
        <f t="shared" si="13"/>
        <v>0.01153</v>
      </c>
      <c r="Z13" s="27"/>
    </row>
    <row r="14" spans="2:26" ht="15.75">
      <c r="B14" s="12" t="s">
        <v>3</v>
      </c>
      <c r="C14" s="18">
        <f>D4*0.04</f>
        <v>4000</v>
      </c>
      <c r="D14" s="16" t="s">
        <v>43</v>
      </c>
      <c r="E14" s="18">
        <v>578</v>
      </c>
      <c r="F14" s="18">
        <v>310</v>
      </c>
      <c r="G14" s="18">
        <f>D4*0.035</f>
        <v>3500.0000000000005</v>
      </c>
      <c r="H14" s="81">
        <f t="shared" si="0"/>
        <v>8388</v>
      </c>
      <c r="I14" s="15">
        <f t="shared" si="1"/>
        <v>4888</v>
      </c>
      <c r="J14" s="15">
        <f t="shared" si="2"/>
        <v>4578</v>
      </c>
      <c r="K14" s="84">
        <v>0.16</v>
      </c>
      <c r="L14" s="5"/>
      <c r="M14" s="35">
        <f t="shared" si="3"/>
        <v>0.08388</v>
      </c>
      <c r="N14" s="33">
        <f t="shared" si="4"/>
        <v>0.035</v>
      </c>
      <c r="O14" s="33">
        <f t="shared" si="5"/>
        <v>0.0031</v>
      </c>
      <c r="P14" s="36">
        <f t="shared" si="6"/>
        <v>0.04578</v>
      </c>
      <c r="Q14" s="26">
        <f t="shared" si="7"/>
        <v>0.41726275631855037</v>
      </c>
      <c r="R14" s="27">
        <f t="shared" si="8"/>
        <v>0.036957558416785885</v>
      </c>
      <c r="S14" s="28">
        <f t="shared" si="9"/>
        <v>0.5457796852646638</v>
      </c>
      <c r="T14" s="26">
        <f t="shared" si="10"/>
        <v>0.873743993010048</v>
      </c>
      <c r="U14" s="27"/>
      <c r="V14" s="28">
        <f t="shared" si="11"/>
        <v>0.12625600698995196</v>
      </c>
      <c r="W14" s="26">
        <f t="shared" si="12"/>
        <v>0.04</v>
      </c>
      <c r="X14" s="27"/>
      <c r="Y14" s="28">
        <f t="shared" si="13"/>
        <v>0.00578</v>
      </c>
      <c r="Z14" s="27"/>
    </row>
    <row r="15" spans="2:26" ht="15.75">
      <c r="B15" s="12" t="s">
        <v>15</v>
      </c>
      <c r="C15" s="18">
        <f>D4*0.04</f>
        <v>4000</v>
      </c>
      <c r="D15" s="18">
        <v>500</v>
      </c>
      <c r="E15" s="18">
        <f>1400+1440</f>
        <v>2840</v>
      </c>
      <c r="F15" s="18">
        <v>490</v>
      </c>
      <c r="G15" s="18">
        <v>11020</v>
      </c>
      <c r="H15" s="81">
        <f t="shared" si="0"/>
        <v>18850</v>
      </c>
      <c r="I15" s="15">
        <f t="shared" si="1"/>
        <v>7830</v>
      </c>
      <c r="J15" s="15">
        <f t="shared" si="2"/>
        <v>7340</v>
      </c>
      <c r="K15" s="84">
        <v>0.19</v>
      </c>
      <c r="L15" s="5"/>
      <c r="M15" s="35">
        <f>H15/100000</f>
        <v>0.1885</v>
      </c>
      <c r="N15" s="33">
        <f>G15/100000</f>
        <v>0.1102</v>
      </c>
      <c r="O15" s="33">
        <f>F15/100000</f>
        <v>0.0049</v>
      </c>
      <c r="P15" s="36">
        <f>J15/100000</f>
        <v>0.0734</v>
      </c>
      <c r="Q15" s="26">
        <f>G15/H15</f>
        <v>0.5846153846153846</v>
      </c>
      <c r="R15" s="27">
        <f>F15/H15</f>
        <v>0.0259946949602122</v>
      </c>
      <c r="S15" s="28">
        <f>J15/H15</f>
        <v>0.3893899204244032</v>
      </c>
      <c r="T15" s="26">
        <f>C15/J15</f>
        <v>0.5449591280653951</v>
      </c>
      <c r="U15" s="27">
        <f>D15/J15</f>
        <v>0.0681198910081744</v>
      </c>
      <c r="V15" s="28">
        <f>E15/J15</f>
        <v>0.3869209809264305</v>
      </c>
      <c r="W15" s="26">
        <f>C15/100000</f>
        <v>0.04</v>
      </c>
      <c r="X15" s="27">
        <f>D15/100000</f>
        <v>0.005</v>
      </c>
      <c r="Y15" s="28">
        <f>E15/100000</f>
        <v>0.0284</v>
      </c>
      <c r="Z15" s="27"/>
    </row>
    <row r="16" spans="2:26" ht="15.75">
      <c r="B16" s="12" t="s">
        <v>19</v>
      </c>
      <c r="C16" s="18">
        <f>0.04*D4</f>
        <v>4000</v>
      </c>
      <c r="D16" s="16" t="s">
        <v>43</v>
      </c>
      <c r="E16" s="18">
        <v>1000</v>
      </c>
      <c r="F16" s="18">
        <v>18</v>
      </c>
      <c r="G16" s="18">
        <v>5420</v>
      </c>
      <c r="H16" s="81">
        <f>SUM(C16:G16)</f>
        <v>10438</v>
      </c>
      <c r="I16" s="15">
        <f>SUM(C16:F16)</f>
        <v>5018</v>
      </c>
      <c r="J16" s="15">
        <f>SUM(C16:E16)</f>
        <v>5000</v>
      </c>
      <c r="K16" s="84">
        <v>0.2</v>
      </c>
      <c r="L16" s="5"/>
      <c r="M16" s="35">
        <f t="shared" si="3"/>
        <v>0.10438</v>
      </c>
      <c r="N16" s="33">
        <f t="shared" si="4"/>
        <v>0.0542</v>
      </c>
      <c r="O16" s="33">
        <f t="shared" si="5"/>
        <v>0.00018</v>
      </c>
      <c r="P16" s="36">
        <f t="shared" si="6"/>
        <v>0.05</v>
      </c>
      <c r="Q16" s="26">
        <f t="shared" si="7"/>
        <v>0.5192565625598774</v>
      </c>
      <c r="R16" s="27">
        <f t="shared" si="8"/>
        <v>0.0017244682889442423</v>
      </c>
      <c r="S16" s="28">
        <f t="shared" si="9"/>
        <v>0.47901896915117836</v>
      </c>
      <c r="T16" s="26">
        <f t="shared" si="10"/>
        <v>0.8</v>
      </c>
      <c r="U16" s="27"/>
      <c r="V16" s="28">
        <f t="shared" si="11"/>
        <v>0.2</v>
      </c>
      <c r="W16" s="26">
        <f>C16/100000</f>
        <v>0.04</v>
      </c>
      <c r="X16" s="27"/>
      <c r="Y16" s="28">
        <f>E16/100000</f>
        <v>0.01</v>
      </c>
      <c r="Z16" s="27"/>
    </row>
    <row r="17" spans="2:26" ht="15.75">
      <c r="B17" s="12" t="s">
        <v>4</v>
      </c>
      <c r="C17" s="18">
        <v>2000</v>
      </c>
      <c r="D17" s="18">
        <v>500</v>
      </c>
      <c r="E17" s="18">
        <v>1000</v>
      </c>
      <c r="F17" s="18">
        <v>375</v>
      </c>
      <c r="G17" s="18">
        <v>0</v>
      </c>
      <c r="H17" s="81">
        <f t="shared" si="0"/>
        <v>3875</v>
      </c>
      <c r="I17" s="15">
        <f t="shared" si="1"/>
        <v>3875</v>
      </c>
      <c r="J17" s="15">
        <f t="shared" si="2"/>
        <v>3500</v>
      </c>
      <c r="K17" s="84">
        <v>0.21</v>
      </c>
      <c r="L17" s="5"/>
      <c r="M17" s="35">
        <f>H17/100000</f>
        <v>0.03875</v>
      </c>
      <c r="N17" s="33">
        <f>G17/100000</f>
        <v>0</v>
      </c>
      <c r="O17" s="33">
        <f>F17/100000</f>
        <v>0.00375</v>
      </c>
      <c r="P17" s="36">
        <f>J17/100000</f>
        <v>0.035</v>
      </c>
      <c r="Q17" s="26">
        <f>G17/H17</f>
        <v>0</v>
      </c>
      <c r="R17" s="27">
        <f>F17/H17</f>
        <v>0.0967741935483871</v>
      </c>
      <c r="S17" s="28">
        <f>J17/H17</f>
        <v>0.9032258064516129</v>
      </c>
      <c r="T17" s="26">
        <f>C17/J17</f>
        <v>0.5714285714285714</v>
      </c>
      <c r="U17" s="27">
        <f>D17/J17</f>
        <v>0.14285714285714285</v>
      </c>
      <c r="V17" s="28">
        <f>E17/J17</f>
        <v>0.2857142857142857</v>
      </c>
      <c r="W17" s="26">
        <f>C17/100000</f>
        <v>0.02</v>
      </c>
      <c r="X17" s="27">
        <f>D17/100000</f>
        <v>0.005</v>
      </c>
      <c r="Y17" s="28">
        <f>E17/100000</f>
        <v>0.01</v>
      </c>
      <c r="Z17" s="27"/>
    </row>
    <row r="18" spans="2:26" ht="15.75">
      <c r="B18" s="12" t="s">
        <v>5</v>
      </c>
      <c r="C18" s="18">
        <f>0.06*D4</f>
        <v>6000</v>
      </c>
      <c r="D18" s="16" t="s">
        <v>43</v>
      </c>
      <c r="E18" s="18">
        <v>1500</v>
      </c>
      <c r="F18" s="18">
        <v>115</v>
      </c>
      <c r="G18" s="18">
        <f>(D4/2*0.03)+168+230</f>
        <v>1898</v>
      </c>
      <c r="H18" s="81">
        <f t="shared" si="0"/>
        <v>9513</v>
      </c>
      <c r="I18" s="15">
        <f t="shared" si="1"/>
        <v>7615</v>
      </c>
      <c r="J18" s="15">
        <f t="shared" si="2"/>
        <v>7500</v>
      </c>
      <c r="K18" s="84">
        <v>0.2</v>
      </c>
      <c r="L18" s="5"/>
      <c r="M18" s="35">
        <f t="shared" si="3"/>
        <v>0.09513</v>
      </c>
      <c r="N18" s="33">
        <f t="shared" si="4"/>
        <v>0.01898</v>
      </c>
      <c r="O18" s="33">
        <f t="shared" si="5"/>
        <v>0.00115</v>
      </c>
      <c r="P18" s="36">
        <f t="shared" si="6"/>
        <v>0.075</v>
      </c>
      <c r="Q18" s="26">
        <f t="shared" si="7"/>
        <v>0.1995164511720803</v>
      </c>
      <c r="R18" s="27">
        <f t="shared" si="8"/>
        <v>0.012088720697992222</v>
      </c>
      <c r="S18" s="28">
        <f t="shared" si="9"/>
        <v>0.7883948281299274</v>
      </c>
      <c r="T18" s="26">
        <f t="shared" si="10"/>
        <v>0.8</v>
      </c>
      <c r="U18" s="27"/>
      <c r="V18" s="28">
        <f t="shared" si="11"/>
        <v>0.2</v>
      </c>
      <c r="W18" s="26">
        <f t="shared" si="12"/>
        <v>0.06</v>
      </c>
      <c r="X18" s="27"/>
      <c r="Y18" s="28">
        <f t="shared" si="13"/>
        <v>0.015</v>
      </c>
      <c r="Z18" s="27"/>
    </row>
    <row r="19" spans="2:26" ht="15.75">
      <c r="B19" s="12" t="s">
        <v>6</v>
      </c>
      <c r="C19" s="18">
        <v>1850</v>
      </c>
      <c r="D19" s="16" t="s">
        <v>43</v>
      </c>
      <c r="E19" s="18">
        <v>661</v>
      </c>
      <c r="F19" s="18">
        <f>73+40</f>
        <v>113</v>
      </c>
      <c r="G19" s="18">
        <v>6000</v>
      </c>
      <c r="H19" s="81">
        <f t="shared" si="0"/>
        <v>8624</v>
      </c>
      <c r="I19" s="15">
        <f t="shared" si="1"/>
        <v>2624</v>
      </c>
      <c r="J19" s="15">
        <f t="shared" si="2"/>
        <v>2511</v>
      </c>
      <c r="K19" s="84">
        <v>0.19</v>
      </c>
      <c r="L19" s="5"/>
      <c r="M19" s="35">
        <f>H19/100000</f>
        <v>0.08624</v>
      </c>
      <c r="N19" s="33">
        <f>G19/100000</f>
        <v>0.06</v>
      </c>
      <c r="O19" s="33">
        <f>F19/100000</f>
        <v>0.00113</v>
      </c>
      <c r="P19" s="36">
        <f>J19/100000</f>
        <v>0.02511</v>
      </c>
      <c r="Q19" s="26">
        <f>G19/H19</f>
        <v>0.6957328385899815</v>
      </c>
      <c r="R19" s="27">
        <f>F19/H19</f>
        <v>0.013102968460111317</v>
      </c>
      <c r="S19" s="28">
        <f>J19/H19</f>
        <v>0.29116419294990725</v>
      </c>
      <c r="T19" s="26">
        <f>C19/J19</f>
        <v>0.7367582636399841</v>
      </c>
      <c r="U19" s="27"/>
      <c r="V19" s="28">
        <f>E19/J19</f>
        <v>0.2632417363600159</v>
      </c>
      <c r="W19" s="26">
        <f>C19/100000</f>
        <v>0.0185</v>
      </c>
      <c r="X19" s="27"/>
      <c r="Y19" s="28">
        <f>E19/100000</f>
        <v>0.00661</v>
      </c>
      <c r="Z19" s="27"/>
    </row>
    <row r="20" spans="2:26" ht="15.75">
      <c r="B20" s="12" t="s">
        <v>7</v>
      </c>
      <c r="C20" s="18">
        <v>2000</v>
      </c>
      <c r="D20" s="16" t="s">
        <v>43</v>
      </c>
      <c r="E20" s="18">
        <v>677</v>
      </c>
      <c r="F20" s="18">
        <v>50</v>
      </c>
      <c r="G20" s="18">
        <v>10000</v>
      </c>
      <c r="H20" s="81">
        <f t="shared" si="0"/>
        <v>12727</v>
      </c>
      <c r="I20" s="15">
        <f t="shared" si="1"/>
        <v>2727</v>
      </c>
      <c r="J20" s="15">
        <f t="shared" si="2"/>
        <v>2677</v>
      </c>
      <c r="K20" s="84">
        <v>0.22</v>
      </c>
      <c r="L20" s="5"/>
      <c r="M20" s="35">
        <f t="shared" si="3"/>
        <v>0.12727</v>
      </c>
      <c r="N20" s="33">
        <f t="shared" si="4"/>
        <v>0.1</v>
      </c>
      <c r="O20" s="33">
        <f t="shared" si="5"/>
        <v>0.0005</v>
      </c>
      <c r="P20" s="36">
        <f t="shared" si="6"/>
        <v>0.02677</v>
      </c>
      <c r="Q20" s="26">
        <f t="shared" si="7"/>
        <v>0.7857311228097745</v>
      </c>
      <c r="R20" s="27">
        <f t="shared" si="8"/>
        <v>0.003928655614048872</v>
      </c>
      <c r="S20" s="28">
        <f t="shared" si="9"/>
        <v>0.21034022157617663</v>
      </c>
      <c r="T20" s="26">
        <f t="shared" si="10"/>
        <v>0.7471049682480388</v>
      </c>
      <c r="U20" s="27"/>
      <c r="V20" s="28">
        <f t="shared" si="11"/>
        <v>0.25289503175196115</v>
      </c>
      <c r="W20" s="26">
        <f t="shared" si="12"/>
        <v>0.02</v>
      </c>
      <c r="X20" s="27"/>
      <c r="Y20" s="28">
        <f t="shared" si="13"/>
        <v>0.00677</v>
      </c>
      <c r="Z20" s="27"/>
    </row>
    <row r="21" spans="2:26" ht="15.75">
      <c r="B21" s="12" t="s">
        <v>189</v>
      </c>
      <c r="C21" s="18">
        <v>3750</v>
      </c>
      <c r="D21" s="16">
        <v>275</v>
      </c>
      <c r="E21" s="18">
        <f>325+124.5</f>
        <v>449.5</v>
      </c>
      <c r="F21" s="18">
        <v>125</v>
      </c>
      <c r="G21" s="18">
        <v>800</v>
      </c>
      <c r="H21" s="81">
        <f>SUM(C21:G21)</f>
        <v>5399.5</v>
      </c>
      <c r="I21" s="15">
        <f>SUM(C21:F21)</f>
        <v>4599.5</v>
      </c>
      <c r="J21" s="15">
        <f>SUM(C21:E21)</f>
        <v>4474.5</v>
      </c>
      <c r="K21" s="84">
        <v>0.21</v>
      </c>
      <c r="L21" s="5"/>
      <c r="M21" s="35">
        <f>H21/100000</f>
        <v>0.053995</v>
      </c>
      <c r="N21" s="33">
        <f>G21/100000</f>
        <v>0.008</v>
      </c>
      <c r="O21" s="33">
        <f>F21/100000</f>
        <v>0.00125</v>
      </c>
      <c r="P21" s="36">
        <f>J21/100000</f>
        <v>0.044745</v>
      </c>
      <c r="Q21" s="26">
        <f>G21/H21</f>
        <v>0.14816186683952218</v>
      </c>
      <c r="R21" s="27">
        <f>F21/H21</f>
        <v>0.02315029169367534</v>
      </c>
      <c r="S21" s="28">
        <f>J21/H21</f>
        <v>0.8286878414668025</v>
      </c>
      <c r="T21" s="26">
        <f>C21/J21</f>
        <v>0.8380824673147838</v>
      </c>
      <c r="U21" s="27">
        <f>D21/J21</f>
        <v>0.06145938093641748</v>
      </c>
      <c r="V21" s="28">
        <f>E21/J21</f>
        <v>0.10045815174879875</v>
      </c>
      <c r="W21" s="26">
        <f>C21/100000</f>
        <v>0.0375</v>
      </c>
      <c r="X21" s="27">
        <f>D21/100000</f>
        <v>0.00275</v>
      </c>
      <c r="Y21" s="28">
        <f>E21/100000</f>
        <v>0.004495</v>
      </c>
      <c r="Z21" s="27"/>
    </row>
    <row r="22" spans="2:26" ht="15.75">
      <c r="B22" s="19" t="s">
        <v>8</v>
      </c>
      <c r="C22" s="18">
        <v>1000</v>
      </c>
      <c r="D22" s="18">
        <v>378</v>
      </c>
      <c r="E22" s="18">
        <v>1335</v>
      </c>
      <c r="F22" s="18">
        <v>228</v>
      </c>
      <c r="G22" s="18">
        <v>0</v>
      </c>
      <c r="H22" s="81">
        <f t="shared" si="0"/>
        <v>2941</v>
      </c>
      <c r="I22" s="15">
        <f t="shared" si="1"/>
        <v>2941</v>
      </c>
      <c r="J22" s="15">
        <f t="shared" si="2"/>
        <v>2713</v>
      </c>
      <c r="K22" s="84">
        <v>0.175</v>
      </c>
      <c r="L22" s="5"/>
      <c r="M22" s="35">
        <f t="shared" si="3"/>
        <v>0.02941</v>
      </c>
      <c r="N22" s="33">
        <f t="shared" si="4"/>
        <v>0</v>
      </c>
      <c r="O22" s="33">
        <f t="shared" si="5"/>
        <v>0.00228</v>
      </c>
      <c r="P22" s="36">
        <f t="shared" si="6"/>
        <v>0.02713</v>
      </c>
      <c r="Q22" s="26">
        <f t="shared" si="7"/>
        <v>0</v>
      </c>
      <c r="R22" s="27">
        <f t="shared" si="8"/>
        <v>0.07752465147908874</v>
      </c>
      <c r="S22" s="28">
        <f t="shared" si="9"/>
        <v>0.9224753485209113</v>
      </c>
      <c r="T22" s="26">
        <f t="shared" si="10"/>
        <v>0.36859565057132326</v>
      </c>
      <c r="U22" s="27">
        <f>D22/J22</f>
        <v>0.13932915591596018</v>
      </c>
      <c r="V22" s="28">
        <f t="shared" si="11"/>
        <v>0.49207519351271656</v>
      </c>
      <c r="W22" s="26">
        <f t="shared" si="12"/>
        <v>0.01</v>
      </c>
      <c r="X22" s="27">
        <f>D22/100000</f>
        <v>0.00378</v>
      </c>
      <c r="Y22" s="28">
        <f t="shared" si="13"/>
        <v>0.01335</v>
      </c>
      <c r="Z22" s="27"/>
    </row>
    <row r="23" spans="2:26" ht="15.75">
      <c r="B23" s="19" t="s">
        <v>188</v>
      </c>
      <c r="C23" s="18">
        <v>2150</v>
      </c>
      <c r="D23" s="18">
        <v>130</v>
      </c>
      <c r="E23" s="18">
        <v>420</v>
      </c>
      <c r="F23" s="18">
        <v>60</v>
      </c>
      <c r="G23" s="18">
        <v>0</v>
      </c>
      <c r="H23" s="81">
        <f t="shared" si="0"/>
        <v>2760</v>
      </c>
      <c r="I23" s="15">
        <f t="shared" si="1"/>
        <v>2760</v>
      </c>
      <c r="J23" s="15">
        <f t="shared" si="2"/>
        <v>2700</v>
      </c>
      <c r="K23" s="84">
        <v>0.19</v>
      </c>
      <c r="L23" s="5"/>
      <c r="M23" s="35">
        <f>H23/100000</f>
        <v>0.0276</v>
      </c>
      <c r="N23" s="33">
        <f>G23/100000</f>
        <v>0</v>
      </c>
      <c r="O23" s="33">
        <f>F23/100000</f>
        <v>0.0006</v>
      </c>
      <c r="P23" s="36">
        <f>J23/100000</f>
        <v>0.027</v>
      </c>
      <c r="Q23" s="26">
        <f>G23/H23</f>
        <v>0</v>
      </c>
      <c r="R23" s="27">
        <f>F23/H23</f>
        <v>0.021739130434782608</v>
      </c>
      <c r="S23" s="28">
        <f>J23/H23</f>
        <v>0.9782608695652174</v>
      </c>
      <c r="T23" s="26">
        <f>C23/J23</f>
        <v>0.7962962962962963</v>
      </c>
      <c r="U23" s="27">
        <f>D23/J23</f>
        <v>0.04814814814814815</v>
      </c>
      <c r="V23" s="28">
        <f>E23/J23</f>
        <v>0.15555555555555556</v>
      </c>
      <c r="W23" s="26">
        <f>C23/100000</f>
        <v>0.0215</v>
      </c>
      <c r="X23" s="27">
        <f>D23/100000</f>
        <v>0.0013</v>
      </c>
      <c r="Y23" s="28">
        <f>E23/100000</f>
        <v>0.0042</v>
      </c>
      <c r="Z23" s="27"/>
    </row>
    <row r="24" spans="2:26" ht="15.75">
      <c r="B24" s="12" t="s">
        <v>16</v>
      </c>
      <c r="C24" s="18">
        <f>0.04*D4</f>
        <v>4000</v>
      </c>
      <c r="D24" s="16" t="s">
        <v>43</v>
      </c>
      <c r="E24" s="18">
        <f>585+67.5</f>
        <v>652.5</v>
      </c>
      <c r="F24" s="18">
        <v>88</v>
      </c>
      <c r="G24" s="18">
        <f>0.02*D4</f>
        <v>2000</v>
      </c>
      <c r="H24" s="81">
        <f t="shared" si="0"/>
        <v>6740.5</v>
      </c>
      <c r="I24" s="15">
        <f t="shared" si="1"/>
        <v>4740.5</v>
      </c>
      <c r="J24" s="15">
        <f t="shared" si="2"/>
        <v>4652.5</v>
      </c>
      <c r="K24" s="84">
        <v>0.19</v>
      </c>
      <c r="L24" s="5"/>
      <c r="M24" s="35">
        <f t="shared" si="3"/>
        <v>0.067405</v>
      </c>
      <c r="N24" s="33">
        <f t="shared" si="4"/>
        <v>0.02</v>
      </c>
      <c r="O24" s="33">
        <f t="shared" si="5"/>
        <v>0.00088</v>
      </c>
      <c r="P24" s="36">
        <f t="shared" si="6"/>
        <v>0.046525</v>
      </c>
      <c r="Q24" s="26">
        <f t="shared" si="7"/>
        <v>0.29671389362806916</v>
      </c>
      <c r="R24" s="27">
        <f t="shared" si="8"/>
        <v>0.013055411319635042</v>
      </c>
      <c r="S24" s="28">
        <f t="shared" si="9"/>
        <v>0.6902306950522958</v>
      </c>
      <c r="T24" s="26">
        <f t="shared" si="10"/>
        <v>0.8597528210639441</v>
      </c>
      <c r="U24" s="27"/>
      <c r="V24" s="28">
        <f t="shared" si="11"/>
        <v>0.14024717893605587</v>
      </c>
      <c r="W24" s="26">
        <f t="shared" si="12"/>
        <v>0.04</v>
      </c>
      <c r="X24" s="27"/>
      <c r="Y24" s="28">
        <f t="shared" si="13"/>
        <v>0.006525</v>
      </c>
      <c r="Z24" s="27"/>
    </row>
    <row r="25" spans="2:26" ht="15.75">
      <c r="B25" s="12" t="s">
        <v>9</v>
      </c>
      <c r="C25" s="18">
        <v>6000</v>
      </c>
      <c r="D25" s="16" t="s">
        <v>43</v>
      </c>
      <c r="E25" s="18">
        <f>269+210</f>
        <v>479</v>
      </c>
      <c r="F25" s="18">
        <v>129</v>
      </c>
      <c r="G25" s="18">
        <f>D4*0.07</f>
        <v>7000.000000000001</v>
      </c>
      <c r="H25" s="81">
        <f t="shared" si="0"/>
        <v>13608</v>
      </c>
      <c r="I25" s="15">
        <f t="shared" si="1"/>
        <v>6608</v>
      </c>
      <c r="J25" s="15">
        <f t="shared" si="2"/>
        <v>6479</v>
      </c>
      <c r="K25" s="84">
        <v>0.16</v>
      </c>
      <c r="L25" s="5"/>
      <c r="M25" s="35">
        <f t="shared" si="3"/>
        <v>0.13608</v>
      </c>
      <c r="N25" s="33">
        <f t="shared" si="4"/>
        <v>0.07</v>
      </c>
      <c r="O25" s="33">
        <f t="shared" si="5"/>
        <v>0.00129</v>
      </c>
      <c r="P25" s="36">
        <f t="shared" si="6"/>
        <v>0.06479</v>
      </c>
      <c r="Q25" s="26">
        <f t="shared" si="7"/>
        <v>0.5144032921810701</v>
      </c>
      <c r="R25" s="27">
        <f t="shared" si="8"/>
        <v>0.009479717813051146</v>
      </c>
      <c r="S25" s="28">
        <f t="shared" si="9"/>
        <v>0.47611699000587887</v>
      </c>
      <c r="T25" s="26">
        <f t="shared" si="10"/>
        <v>0.9260688377836086</v>
      </c>
      <c r="U25" s="27"/>
      <c r="V25" s="28">
        <f t="shared" si="11"/>
        <v>0.07393116221639141</v>
      </c>
      <c r="W25" s="26">
        <f t="shared" si="12"/>
        <v>0.06</v>
      </c>
      <c r="X25" s="27"/>
      <c r="Y25" s="28">
        <f t="shared" si="13"/>
        <v>0.00479</v>
      </c>
      <c r="Z25" s="27"/>
    </row>
    <row r="26" spans="2:26" ht="15.75">
      <c r="B26" s="20" t="s">
        <v>10</v>
      </c>
      <c r="C26" s="21">
        <v>3600</v>
      </c>
      <c r="D26" s="21">
        <v>400</v>
      </c>
      <c r="E26" s="21">
        <v>0</v>
      </c>
      <c r="F26" s="21">
        <v>90</v>
      </c>
      <c r="G26" s="21">
        <v>1500</v>
      </c>
      <c r="H26" s="82">
        <f t="shared" si="0"/>
        <v>5590</v>
      </c>
      <c r="I26" s="22">
        <f t="shared" si="1"/>
        <v>4090</v>
      </c>
      <c r="J26" s="22">
        <f t="shared" si="2"/>
        <v>4000</v>
      </c>
      <c r="K26" s="85">
        <v>0.25</v>
      </c>
      <c r="L26" s="5"/>
      <c r="M26" s="72">
        <f t="shared" si="3"/>
        <v>0.0559</v>
      </c>
      <c r="N26" s="33">
        <f t="shared" si="4"/>
        <v>0.015</v>
      </c>
      <c r="O26" s="33">
        <f t="shared" si="5"/>
        <v>0.0009</v>
      </c>
      <c r="P26" s="36">
        <f t="shared" si="6"/>
        <v>0.04</v>
      </c>
      <c r="Q26" s="26">
        <f t="shared" si="7"/>
        <v>0.26833631484794274</v>
      </c>
      <c r="R26" s="27">
        <f t="shared" si="8"/>
        <v>0.016100178890876567</v>
      </c>
      <c r="S26" s="28">
        <f t="shared" si="9"/>
        <v>0.7155635062611807</v>
      </c>
      <c r="T26" s="26">
        <f t="shared" si="10"/>
        <v>0.9</v>
      </c>
      <c r="U26" s="27">
        <f>D26/J26</f>
        <v>0.1</v>
      </c>
      <c r="V26" s="28">
        <f t="shared" si="11"/>
        <v>0</v>
      </c>
      <c r="W26" s="44">
        <f t="shared" si="12"/>
        <v>0.036</v>
      </c>
      <c r="X26" s="27">
        <f>D26/100000</f>
        <v>0.004</v>
      </c>
      <c r="Y26" s="45">
        <f t="shared" si="13"/>
        <v>0</v>
      </c>
      <c r="Z26" s="55"/>
    </row>
    <row r="27" spans="2:26" ht="15.75">
      <c r="B27" s="42" t="s">
        <v>27</v>
      </c>
      <c r="C27" s="70">
        <f>(SUM(C7:C26))/D28</f>
        <v>3763.65</v>
      </c>
      <c r="D27" s="70">
        <f>(SUM(D7:D26))/I28</f>
        <v>463.90909090909093</v>
      </c>
      <c r="E27" s="70">
        <f>(SUM(E7:E26))/D28</f>
        <v>915.95</v>
      </c>
      <c r="F27" s="70">
        <f>(SUM(F7:F26))/D28</f>
        <v>229</v>
      </c>
      <c r="G27" s="70">
        <f>(SUM(G7:G26))/D28</f>
        <v>3659.9</v>
      </c>
      <c r="H27" s="82">
        <f>(SUM(H7:H26))/D28</f>
        <v>8823.65</v>
      </c>
      <c r="I27" s="70">
        <f>(SUM(I7:I26))/D28</f>
        <v>5163.75</v>
      </c>
      <c r="J27" s="70">
        <f>(SUM(J7:J26))/D28</f>
        <v>4934.75</v>
      </c>
      <c r="K27" s="41"/>
      <c r="L27" s="29" t="s">
        <v>27</v>
      </c>
      <c r="M27" s="71">
        <f>(SUM(M7:M26))/D28</f>
        <v>0.0882365</v>
      </c>
      <c r="N27" s="53">
        <f>(SUM(N7:N26))/D28</f>
        <v>0.036599</v>
      </c>
      <c r="O27" s="53">
        <f>(SUM(O7:O26))/D28</f>
        <v>0.00229</v>
      </c>
      <c r="P27" s="53">
        <f>(SUM(P7:P26))/D28</f>
        <v>0.0493475</v>
      </c>
      <c r="Q27" s="52">
        <f>(SUM(Q7:Q26))/D28</f>
        <v>0.31370439220487245</v>
      </c>
      <c r="R27" s="53">
        <f>(SUM(R7:R26))/D28</f>
        <v>0.030745582294953656</v>
      </c>
      <c r="S27" s="53">
        <f>(SUM(S7:S26))/D28</f>
        <v>0.6555500255001739</v>
      </c>
      <c r="T27" s="52">
        <f>(SUM(T7:T26))/D28</f>
        <v>0.7468594509371873</v>
      </c>
      <c r="U27" s="53">
        <f>(SUM(U7:U26))/D28</f>
        <v>0.056999216127760266</v>
      </c>
      <c r="V27" s="53">
        <f>(SUM(V7:V26))/D28</f>
        <v>0.19614133293505243</v>
      </c>
      <c r="W27" s="52">
        <f>(SUM(W7:W26))/D28</f>
        <v>0.037636499999999996</v>
      </c>
      <c r="X27" s="53">
        <f>(SUM(X7:X26))/I28</f>
        <v>0.0046390909090909095</v>
      </c>
      <c r="Y27" s="54">
        <f>(SUM(Y7:Y26))/D28</f>
        <v>0.009159500000000001</v>
      </c>
      <c r="Z27" s="32"/>
    </row>
    <row r="28" spans="2:26" ht="15.75">
      <c r="B28" s="64"/>
      <c r="C28" s="65" t="s">
        <v>44</v>
      </c>
      <c r="D28" s="66">
        <v>20</v>
      </c>
      <c r="E28" s="67"/>
      <c r="F28" s="65"/>
      <c r="G28" s="65"/>
      <c r="H28" s="65" t="s">
        <v>52</v>
      </c>
      <c r="I28" s="66">
        <v>11</v>
      </c>
      <c r="J28" s="68"/>
      <c r="K28" s="41"/>
      <c r="L28" s="3"/>
      <c r="M28" s="3"/>
      <c r="N28" s="3"/>
      <c r="O28" s="3"/>
      <c r="P28" s="3"/>
      <c r="T28" s="50" t="s">
        <v>51</v>
      </c>
      <c r="U28" s="31">
        <f>(SUM(U7:U26))/I28</f>
        <v>0.10363493841410958</v>
      </c>
      <c r="W28" s="47"/>
      <c r="X28" s="46"/>
      <c r="Y28" s="47"/>
      <c r="Z28" s="49"/>
    </row>
    <row r="29" spans="3:26" ht="15.75">
      <c r="C29" s="69"/>
      <c r="L29" s="3"/>
      <c r="M29" s="3"/>
      <c r="N29" s="3"/>
      <c r="O29" s="3"/>
      <c r="P29" s="3"/>
      <c r="V29" s="51"/>
      <c r="W29" s="48"/>
      <c r="Y29" s="48"/>
      <c r="Z29" s="48"/>
    </row>
    <row r="30" spans="12:26" ht="15.75">
      <c r="L30" s="3"/>
      <c r="M30" s="3"/>
      <c r="N30" s="3"/>
      <c r="O30" s="3"/>
      <c r="P30" s="3"/>
      <c r="W30" s="49"/>
      <c r="X30" s="32"/>
      <c r="Y30" s="49"/>
      <c r="Z30" s="49"/>
    </row>
    <row r="31" spans="2:26" ht="15.75">
      <c r="B31" s="7"/>
      <c r="C31" s="8"/>
      <c r="D31" s="9">
        <v>250000</v>
      </c>
      <c r="E31" s="10" t="s">
        <v>119</v>
      </c>
      <c r="F31" s="8"/>
      <c r="G31" s="8"/>
      <c r="H31" s="8"/>
      <c r="I31" s="8"/>
      <c r="J31" s="8"/>
      <c r="K31" s="11"/>
      <c r="L31" s="3"/>
      <c r="M31" s="34"/>
      <c r="N31" s="40" t="s">
        <v>28</v>
      </c>
      <c r="O31" s="30"/>
      <c r="P31" s="11"/>
      <c r="Q31" s="7"/>
      <c r="R31" s="30" t="s">
        <v>21</v>
      </c>
      <c r="S31" s="11"/>
      <c r="T31" s="7"/>
      <c r="U31" s="30" t="s">
        <v>24</v>
      </c>
      <c r="V31" s="11"/>
      <c r="W31" s="7"/>
      <c r="X31" s="30" t="s">
        <v>39</v>
      </c>
      <c r="Y31" s="11"/>
      <c r="Z31" s="2"/>
    </row>
    <row r="32" spans="2:26" ht="12.75">
      <c r="B32" s="12"/>
      <c r="C32" s="2"/>
      <c r="D32" s="2"/>
      <c r="E32" s="2"/>
      <c r="F32" s="2"/>
      <c r="G32" s="2"/>
      <c r="H32" s="2"/>
      <c r="I32" s="2"/>
      <c r="J32" s="2"/>
      <c r="K32" s="13"/>
      <c r="L32" s="2"/>
      <c r="M32" s="37"/>
      <c r="N32" s="43" t="s">
        <v>31</v>
      </c>
      <c r="O32" s="43"/>
      <c r="P32" s="39"/>
      <c r="Q32" s="12"/>
      <c r="R32" s="43" t="s">
        <v>31</v>
      </c>
      <c r="S32" s="13"/>
      <c r="T32" s="12"/>
      <c r="U32" s="43" t="s">
        <v>31</v>
      </c>
      <c r="V32" s="13"/>
      <c r="W32" s="12"/>
      <c r="X32" s="43" t="s">
        <v>31</v>
      </c>
      <c r="Y32" s="13"/>
      <c r="Z32" s="2"/>
    </row>
    <row r="33" spans="2:26" ht="12.75">
      <c r="B33" s="56" t="s">
        <v>11</v>
      </c>
      <c r="C33" s="58" t="s">
        <v>40</v>
      </c>
      <c r="D33" s="58" t="s">
        <v>32</v>
      </c>
      <c r="E33" s="58" t="s">
        <v>46</v>
      </c>
      <c r="F33" s="58" t="s">
        <v>33</v>
      </c>
      <c r="G33" s="58" t="s">
        <v>17</v>
      </c>
      <c r="H33" s="58" t="s">
        <v>34</v>
      </c>
      <c r="I33" s="58" t="s">
        <v>36</v>
      </c>
      <c r="J33" s="58" t="s">
        <v>42</v>
      </c>
      <c r="K33" s="59" t="s">
        <v>18</v>
      </c>
      <c r="L33" s="63"/>
      <c r="M33" s="57" t="s">
        <v>37</v>
      </c>
      <c r="N33" s="58" t="s">
        <v>22</v>
      </c>
      <c r="O33" s="58" t="s">
        <v>23</v>
      </c>
      <c r="P33" s="60" t="s">
        <v>38</v>
      </c>
      <c r="Q33" s="61" t="s">
        <v>22</v>
      </c>
      <c r="R33" s="62" t="s">
        <v>23</v>
      </c>
      <c r="S33" s="60" t="s">
        <v>38</v>
      </c>
      <c r="T33" s="61" t="s">
        <v>25</v>
      </c>
      <c r="U33" s="62" t="s">
        <v>26</v>
      </c>
      <c r="V33" s="60" t="s">
        <v>47</v>
      </c>
      <c r="W33" s="61" t="s">
        <v>25</v>
      </c>
      <c r="X33" s="62" t="s">
        <v>26</v>
      </c>
      <c r="Y33" s="60" t="s">
        <v>47</v>
      </c>
      <c r="Z33" s="24"/>
    </row>
    <row r="34" spans="2:26" ht="12.75">
      <c r="B34" s="14" t="s">
        <v>12</v>
      </c>
      <c r="C34" s="15">
        <v>15000</v>
      </c>
      <c r="D34" s="16" t="s">
        <v>43</v>
      </c>
      <c r="E34" s="15">
        <v>1900</v>
      </c>
      <c r="F34" s="15">
        <f>D31*0.01</f>
        <v>2500</v>
      </c>
      <c r="G34" s="15">
        <f>D31*0.035</f>
        <v>8750</v>
      </c>
      <c r="H34" s="80">
        <f>SUM(C34:G34)</f>
        <v>28150</v>
      </c>
      <c r="I34" s="15">
        <f>SUM(C34:F34)</f>
        <v>19400</v>
      </c>
      <c r="J34" s="15">
        <f>SUM(C34:E34)</f>
        <v>16900</v>
      </c>
      <c r="K34" s="83">
        <v>0.2</v>
      </c>
      <c r="L34" s="4"/>
      <c r="M34" s="35">
        <f>H34/250000</f>
        <v>0.1126</v>
      </c>
      <c r="N34" s="33">
        <f>G34/250000</f>
        <v>0.035</v>
      </c>
      <c r="O34" s="33">
        <f>F34/250000</f>
        <v>0.01</v>
      </c>
      <c r="P34" s="36">
        <f>J34/250000</f>
        <v>0.0676</v>
      </c>
      <c r="Q34" s="26">
        <f aca="true" t="shared" si="14" ref="Q34:Q46">G34/H34</f>
        <v>0.3108348134991119</v>
      </c>
      <c r="R34" s="27">
        <f>F34/H34</f>
        <v>0.08880994671403197</v>
      </c>
      <c r="S34" s="28">
        <f aca="true" t="shared" si="15" ref="S34:S46">J34/H34</f>
        <v>0.6003552397868561</v>
      </c>
      <c r="T34" s="26">
        <f aca="true" t="shared" si="16" ref="T34:T46">C34/J34</f>
        <v>0.8875739644970414</v>
      </c>
      <c r="U34" s="27"/>
      <c r="V34" s="28">
        <f aca="true" t="shared" si="17" ref="V34:V46">E34/J34</f>
        <v>0.11242603550295859</v>
      </c>
      <c r="W34" s="26">
        <f>C34/250000</f>
        <v>0.06</v>
      </c>
      <c r="X34" s="27"/>
      <c r="Y34" s="28">
        <f>E34/250000</f>
        <v>0.0076</v>
      </c>
      <c r="Z34" s="27"/>
    </row>
    <row r="35" spans="2:26" ht="15.75">
      <c r="B35" s="14" t="s">
        <v>13</v>
      </c>
      <c r="C35" s="15">
        <f>D31*0.03</f>
        <v>7500</v>
      </c>
      <c r="D35" s="16" t="s">
        <v>43</v>
      </c>
      <c r="E35" s="15">
        <v>2448</v>
      </c>
      <c r="F35" s="15">
        <v>825</v>
      </c>
      <c r="G35" s="15">
        <f>D31*0.115</f>
        <v>28750</v>
      </c>
      <c r="H35" s="81">
        <f aca="true" t="shared" si="18" ref="H35:H53">SUM(C35:G35)</f>
        <v>39523</v>
      </c>
      <c r="I35" s="15">
        <f aca="true" t="shared" si="19" ref="I35:I53">SUM(C35:F35)</f>
        <v>10773</v>
      </c>
      <c r="J35" s="15">
        <f aca="true" t="shared" si="20" ref="J35:J53">SUM(C35:E35)</f>
        <v>9948</v>
      </c>
      <c r="K35" s="84">
        <v>0.21</v>
      </c>
      <c r="L35" s="5"/>
      <c r="M35" s="35">
        <f aca="true" t="shared" si="21" ref="M35:M53">H35/250000</f>
        <v>0.158092</v>
      </c>
      <c r="N35" s="33">
        <f aca="true" t="shared" si="22" ref="N35:N53">G35/250000</f>
        <v>0.115</v>
      </c>
      <c r="O35" s="33">
        <f aca="true" t="shared" si="23" ref="O35:O53">F35/250000</f>
        <v>0.0033</v>
      </c>
      <c r="P35" s="36">
        <f aca="true" t="shared" si="24" ref="P35:P53">J35/250000</f>
        <v>0.039792</v>
      </c>
      <c r="Q35" s="26">
        <f t="shared" si="14"/>
        <v>0.7274245376110113</v>
      </c>
      <c r="R35" s="27">
        <f>F35/H35</f>
        <v>0.020873921514055108</v>
      </c>
      <c r="S35" s="28">
        <f t="shared" si="15"/>
        <v>0.25170154087493357</v>
      </c>
      <c r="T35" s="26">
        <f t="shared" si="16"/>
        <v>0.7539203860072377</v>
      </c>
      <c r="U35" s="27"/>
      <c r="V35" s="28">
        <f t="shared" si="17"/>
        <v>0.24607961399276237</v>
      </c>
      <c r="W35" s="26">
        <f aca="true" t="shared" si="25" ref="W35:W53">C35/250000</f>
        <v>0.03</v>
      </c>
      <c r="X35" s="27"/>
      <c r="Y35" s="28">
        <f aca="true" t="shared" si="26" ref="Y35:Y53">E35/250000</f>
        <v>0.009792</v>
      </c>
      <c r="Z35" s="27"/>
    </row>
    <row r="36" spans="2:26" ht="15.75">
      <c r="B36" s="14" t="s">
        <v>154</v>
      </c>
      <c r="C36" s="15">
        <v>10000</v>
      </c>
      <c r="D36" s="15">
        <v>350</v>
      </c>
      <c r="E36" s="15">
        <v>500</v>
      </c>
      <c r="F36" s="15">
        <v>17</v>
      </c>
      <c r="G36" s="15">
        <v>0</v>
      </c>
      <c r="H36" s="81">
        <f t="shared" si="18"/>
        <v>10867</v>
      </c>
      <c r="I36" s="15">
        <f>SUM(C36:F36)</f>
        <v>10867</v>
      </c>
      <c r="J36" s="15">
        <f>SUM(C36:E36)</f>
        <v>10850</v>
      </c>
      <c r="K36" s="84">
        <v>0.19</v>
      </c>
      <c r="L36" s="5"/>
      <c r="M36" s="35">
        <f t="shared" si="21"/>
        <v>0.043468</v>
      </c>
      <c r="N36" s="33">
        <f t="shared" si="22"/>
        <v>0</v>
      </c>
      <c r="O36" s="33">
        <f t="shared" si="23"/>
        <v>6.8E-05</v>
      </c>
      <c r="P36" s="36">
        <f t="shared" si="24"/>
        <v>0.0434</v>
      </c>
      <c r="Q36" s="26">
        <f t="shared" si="14"/>
        <v>0</v>
      </c>
      <c r="R36" s="27">
        <f>F36/H36</f>
        <v>0.0015643691911291064</v>
      </c>
      <c r="S36" s="28">
        <f t="shared" si="15"/>
        <v>0.9984356308088709</v>
      </c>
      <c r="T36" s="26">
        <f t="shared" si="16"/>
        <v>0.9216589861751152</v>
      </c>
      <c r="U36" s="27"/>
      <c r="V36" s="28">
        <f t="shared" si="17"/>
        <v>0.04608294930875576</v>
      </c>
      <c r="W36" s="74">
        <f t="shared" si="25"/>
        <v>0.04</v>
      </c>
      <c r="X36" s="27">
        <f>D36/250000</f>
        <v>0.0014</v>
      </c>
      <c r="Y36" s="45">
        <f t="shared" si="26"/>
        <v>0.002</v>
      </c>
      <c r="Z36" s="27"/>
    </row>
    <row r="37" spans="2:26" ht="15.75">
      <c r="B37" s="12" t="s">
        <v>14</v>
      </c>
      <c r="C37" s="18">
        <v>7747</v>
      </c>
      <c r="D37" s="18">
        <v>1020</v>
      </c>
      <c r="E37" s="18">
        <v>1013</v>
      </c>
      <c r="F37" s="18">
        <v>1687</v>
      </c>
      <c r="G37" s="18">
        <v>0</v>
      </c>
      <c r="H37" s="81">
        <f t="shared" si="18"/>
        <v>11467</v>
      </c>
      <c r="I37" s="15">
        <f t="shared" si="19"/>
        <v>11467</v>
      </c>
      <c r="J37" s="15">
        <f t="shared" si="20"/>
        <v>9780</v>
      </c>
      <c r="K37" s="84">
        <v>0.25</v>
      </c>
      <c r="L37" s="5"/>
      <c r="M37" s="35">
        <f t="shared" si="21"/>
        <v>0.045868</v>
      </c>
      <c r="N37" s="33">
        <f t="shared" si="22"/>
        <v>0</v>
      </c>
      <c r="O37" s="33">
        <f t="shared" si="23"/>
        <v>0.006748</v>
      </c>
      <c r="P37" s="36">
        <f t="shared" si="24"/>
        <v>0.03912</v>
      </c>
      <c r="Q37" s="26">
        <f t="shared" si="14"/>
        <v>0</v>
      </c>
      <c r="R37" s="27">
        <f>F37/H37</f>
        <v>0.14711781634254817</v>
      </c>
      <c r="S37" s="28">
        <f t="shared" si="15"/>
        <v>0.8528821836574518</v>
      </c>
      <c r="T37" s="26">
        <f t="shared" si="16"/>
        <v>0.7921267893660532</v>
      </c>
      <c r="U37" s="27">
        <f>D37/J37</f>
        <v>0.10429447852760736</v>
      </c>
      <c r="V37" s="28">
        <f t="shared" si="17"/>
        <v>0.10357873210633947</v>
      </c>
      <c r="W37" s="44">
        <f t="shared" si="25"/>
        <v>0.030988</v>
      </c>
      <c r="X37" s="27">
        <f>D37/250000</f>
        <v>0.00408</v>
      </c>
      <c r="Y37" s="45">
        <f t="shared" si="26"/>
        <v>0.004052</v>
      </c>
      <c r="Z37" s="55"/>
    </row>
    <row r="38" spans="2:26" ht="15.75">
      <c r="B38" s="12" t="s">
        <v>0</v>
      </c>
      <c r="C38" s="18">
        <v>3579</v>
      </c>
      <c r="D38" s="18">
        <f>350*1.5</f>
        <v>525</v>
      </c>
      <c r="E38" s="18">
        <v>1170</v>
      </c>
      <c r="F38" s="18">
        <f>150*1.5</f>
        <v>225</v>
      </c>
      <c r="G38" s="18">
        <v>2520</v>
      </c>
      <c r="H38" s="81">
        <f t="shared" si="18"/>
        <v>8019</v>
      </c>
      <c r="I38" s="15">
        <f t="shared" si="19"/>
        <v>5499</v>
      </c>
      <c r="J38" s="15">
        <f t="shared" si="20"/>
        <v>5274</v>
      </c>
      <c r="K38" s="84">
        <v>0.175</v>
      </c>
      <c r="L38" s="5"/>
      <c r="M38" s="35">
        <f t="shared" si="21"/>
        <v>0.032076</v>
      </c>
      <c r="N38" s="33">
        <f t="shared" si="22"/>
        <v>0.01008</v>
      </c>
      <c r="O38" s="33">
        <f t="shared" si="23"/>
        <v>0.0009</v>
      </c>
      <c r="P38" s="36">
        <f t="shared" si="24"/>
        <v>0.021096</v>
      </c>
      <c r="Q38" s="26">
        <f t="shared" si="14"/>
        <v>0.31425364758698093</v>
      </c>
      <c r="R38" s="27">
        <f>F38/H38</f>
        <v>0.028058361391694726</v>
      </c>
      <c r="S38" s="28">
        <f t="shared" si="15"/>
        <v>0.6576879910213244</v>
      </c>
      <c r="T38" s="26">
        <f t="shared" si="16"/>
        <v>0.6786120591581343</v>
      </c>
      <c r="U38" s="27">
        <f>D38/J38</f>
        <v>0.09954493742889647</v>
      </c>
      <c r="V38" s="28">
        <f t="shared" si="17"/>
        <v>0.22184300341296928</v>
      </c>
      <c r="W38" s="26">
        <f t="shared" si="25"/>
        <v>0.014316</v>
      </c>
      <c r="X38" s="27">
        <f>D38/250000</f>
        <v>0.0021</v>
      </c>
      <c r="Y38" s="28">
        <f t="shared" si="26"/>
        <v>0.00468</v>
      </c>
      <c r="Z38" s="27"/>
    </row>
    <row r="39" spans="2:26" ht="15.75">
      <c r="B39" s="12" t="s">
        <v>1</v>
      </c>
      <c r="C39" s="18">
        <f>D31*0.03125</f>
        <v>7812.5</v>
      </c>
      <c r="D39" s="18">
        <v>600</v>
      </c>
      <c r="E39" s="18">
        <v>77</v>
      </c>
      <c r="F39" s="18">
        <v>65</v>
      </c>
      <c r="G39" s="18">
        <v>10000</v>
      </c>
      <c r="H39" s="81">
        <f t="shared" si="18"/>
        <v>18554.5</v>
      </c>
      <c r="I39" s="15">
        <f t="shared" si="19"/>
        <v>8554.5</v>
      </c>
      <c r="J39" s="15">
        <f t="shared" si="20"/>
        <v>8489.5</v>
      </c>
      <c r="K39" s="84">
        <v>0.28</v>
      </c>
      <c r="L39" s="5"/>
      <c r="M39" s="35">
        <f t="shared" si="21"/>
        <v>0.074218</v>
      </c>
      <c r="N39" s="33">
        <f t="shared" si="22"/>
        <v>0.04</v>
      </c>
      <c r="O39" s="33">
        <f t="shared" si="23"/>
        <v>0.00026</v>
      </c>
      <c r="P39" s="36">
        <f t="shared" si="24"/>
        <v>0.033958</v>
      </c>
      <c r="Q39" s="26">
        <f t="shared" si="14"/>
        <v>0.5389528146810747</v>
      </c>
      <c r="R39" s="27">
        <f aca="true" t="shared" si="27" ref="R39:R44">F39/H39</f>
        <v>0.0035031932954269853</v>
      </c>
      <c r="S39" s="28">
        <f t="shared" si="15"/>
        <v>0.4575439920234983</v>
      </c>
      <c r="T39" s="26">
        <f t="shared" si="16"/>
        <v>0.9202544319453443</v>
      </c>
      <c r="U39" s="27">
        <f>D39/J39</f>
        <v>0.07067554037340244</v>
      </c>
      <c r="V39" s="28">
        <f t="shared" si="17"/>
        <v>0.009070027681253314</v>
      </c>
      <c r="W39" s="44">
        <f t="shared" si="25"/>
        <v>0.03125</v>
      </c>
      <c r="X39" s="27">
        <f>D39/250000</f>
        <v>0.0024</v>
      </c>
      <c r="Y39" s="45">
        <f t="shared" si="26"/>
        <v>0.000308</v>
      </c>
      <c r="Z39" s="55"/>
    </row>
    <row r="40" spans="2:26" ht="15.75">
      <c r="B40" s="12" t="s">
        <v>2</v>
      </c>
      <c r="C40" s="18">
        <f>D31*0.07</f>
        <v>17500</v>
      </c>
      <c r="D40" s="16">
        <v>500</v>
      </c>
      <c r="E40" s="18">
        <v>2391</v>
      </c>
      <c r="F40" s="18">
        <f>D31*0.001</f>
        <v>250</v>
      </c>
      <c r="G40" s="18">
        <f>D31*0.0506</f>
        <v>12650</v>
      </c>
      <c r="H40" s="81">
        <f t="shared" si="18"/>
        <v>33291</v>
      </c>
      <c r="I40" s="15">
        <f t="shared" si="19"/>
        <v>20641</v>
      </c>
      <c r="J40" s="15">
        <f t="shared" si="20"/>
        <v>20391</v>
      </c>
      <c r="K40" s="84">
        <v>0.196</v>
      </c>
      <c r="L40" s="5"/>
      <c r="M40" s="35">
        <f t="shared" si="21"/>
        <v>0.133164</v>
      </c>
      <c r="N40" s="33">
        <f t="shared" si="22"/>
        <v>0.0506</v>
      </c>
      <c r="O40" s="33">
        <f t="shared" si="23"/>
        <v>0.001</v>
      </c>
      <c r="P40" s="36">
        <f t="shared" si="24"/>
        <v>0.081564</v>
      </c>
      <c r="Q40" s="26">
        <f t="shared" si="14"/>
        <v>0.37998257787389983</v>
      </c>
      <c r="R40" s="27">
        <f t="shared" si="27"/>
        <v>0.0075095371121324085</v>
      </c>
      <c r="S40" s="28">
        <f t="shared" si="15"/>
        <v>0.6125078850139677</v>
      </c>
      <c r="T40" s="26">
        <f t="shared" si="16"/>
        <v>0.8582217645039478</v>
      </c>
      <c r="U40" s="27">
        <f>D40/J40</f>
        <v>0.024520621842969936</v>
      </c>
      <c r="V40" s="28">
        <f t="shared" si="17"/>
        <v>0.11725761365308224</v>
      </c>
      <c r="W40" s="26">
        <f t="shared" si="25"/>
        <v>0.07</v>
      </c>
      <c r="X40" s="27">
        <f>D40/250000</f>
        <v>0.002</v>
      </c>
      <c r="Y40" s="28">
        <f t="shared" si="26"/>
        <v>0.009564</v>
      </c>
      <c r="Z40" s="27"/>
    </row>
    <row r="41" spans="2:26" ht="15.75">
      <c r="B41" s="12" t="s">
        <v>3</v>
      </c>
      <c r="C41" s="18">
        <f>D31*0.04</f>
        <v>10000</v>
      </c>
      <c r="D41" s="16" t="s">
        <v>43</v>
      </c>
      <c r="E41" s="18">
        <v>1140</v>
      </c>
      <c r="F41" s="18">
        <v>648</v>
      </c>
      <c r="G41" s="18">
        <f>D31*0.035</f>
        <v>8750</v>
      </c>
      <c r="H41" s="81">
        <f t="shared" si="18"/>
        <v>20538</v>
      </c>
      <c r="I41" s="15">
        <f t="shared" si="19"/>
        <v>11788</v>
      </c>
      <c r="J41" s="15">
        <f t="shared" si="20"/>
        <v>11140</v>
      </c>
      <c r="K41" s="84">
        <v>0.16</v>
      </c>
      <c r="L41" s="5"/>
      <c r="M41" s="35">
        <f t="shared" si="21"/>
        <v>0.082152</v>
      </c>
      <c r="N41" s="33">
        <f t="shared" si="22"/>
        <v>0.035</v>
      </c>
      <c r="O41" s="33">
        <f t="shared" si="23"/>
        <v>0.002592</v>
      </c>
      <c r="P41" s="36">
        <f t="shared" si="24"/>
        <v>0.04456</v>
      </c>
      <c r="Q41" s="26">
        <f t="shared" si="14"/>
        <v>0.42603953646898435</v>
      </c>
      <c r="R41" s="27">
        <f t="shared" si="27"/>
        <v>0.03155127081507449</v>
      </c>
      <c r="S41" s="28">
        <f t="shared" si="15"/>
        <v>0.5424091927159412</v>
      </c>
      <c r="T41" s="26">
        <f t="shared" si="16"/>
        <v>0.8976660682226212</v>
      </c>
      <c r="U41" s="27"/>
      <c r="V41" s="28">
        <f t="shared" si="17"/>
        <v>0.10233393177737882</v>
      </c>
      <c r="W41" s="26">
        <f t="shared" si="25"/>
        <v>0.04</v>
      </c>
      <c r="X41" s="27"/>
      <c r="Y41" s="28">
        <f t="shared" si="26"/>
        <v>0.00456</v>
      </c>
      <c r="Z41" s="27"/>
    </row>
    <row r="42" spans="2:26" ht="15.75">
      <c r="B42" s="12" t="s">
        <v>15</v>
      </c>
      <c r="C42" s="18">
        <f>D31*0.04</f>
        <v>10000</v>
      </c>
      <c r="D42" s="18">
        <v>500</v>
      </c>
      <c r="E42" s="18">
        <f>3200+2940</f>
        <v>6140</v>
      </c>
      <c r="F42" s="18">
        <v>1200</v>
      </c>
      <c r="G42" s="18">
        <v>28000</v>
      </c>
      <c r="H42" s="81">
        <f t="shared" si="18"/>
        <v>45840</v>
      </c>
      <c r="I42" s="15">
        <f t="shared" si="19"/>
        <v>17840</v>
      </c>
      <c r="J42" s="15">
        <f t="shared" si="20"/>
        <v>16640</v>
      </c>
      <c r="K42" s="84">
        <v>0.19</v>
      </c>
      <c r="L42" s="5"/>
      <c r="M42" s="35">
        <f>H42/250000</f>
        <v>0.18336</v>
      </c>
      <c r="N42" s="33">
        <f>G42/250000</f>
        <v>0.112</v>
      </c>
      <c r="O42" s="33">
        <f>F42/250000</f>
        <v>0.0048</v>
      </c>
      <c r="P42" s="36">
        <f>J42/250000</f>
        <v>0.06656</v>
      </c>
      <c r="Q42" s="26">
        <f t="shared" si="14"/>
        <v>0.6108202443280978</v>
      </c>
      <c r="R42" s="27">
        <f>F42/H42</f>
        <v>0.02617801047120419</v>
      </c>
      <c r="S42" s="28">
        <f t="shared" si="15"/>
        <v>0.36300174520069806</v>
      </c>
      <c r="T42" s="26">
        <f t="shared" si="16"/>
        <v>0.6009615384615384</v>
      </c>
      <c r="U42" s="27">
        <f>D42/J42</f>
        <v>0.030048076923076924</v>
      </c>
      <c r="V42" s="28">
        <f t="shared" si="17"/>
        <v>0.36899038461538464</v>
      </c>
      <c r="W42" s="26">
        <f>C42/250000</f>
        <v>0.04</v>
      </c>
      <c r="X42" s="27">
        <f>D42/250000</f>
        <v>0.002</v>
      </c>
      <c r="Y42" s="28">
        <f>E42/250000</f>
        <v>0.02456</v>
      </c>
      <c r="Z42" s="27"/>
    </row>
    <row r="43" spans="2:26" ht="15.75">
      <c r="B43" s="12" t="s">
        <v>19</v>
      </c>
      <c r="C43" s="18">
        <f>0.03*D31</f>
        <v>7500</v>
      </c>
      <c r="D43" s="16" t="s">
        <v>43</v>
      </c>
      <c r="E43" s="18">
        <v>2100</v>
      </c>
      <c r="F43" s="18">
        <v>18</v>
      </c>
      <c r="G43" s="18">
        <v>14420</v>
      </c>
      <c r="H43" s="81">
        <f t="shared" si="18"/>
        <v>24038</v>
      </c>
      <c r="I43" s="15">
        <f t="shared" si="19"/>
        <v>9618</v>
      </c>
      <c r="J43" s="15">
        <f t="shared" si="20"/>
        <v>9600</v>
      </c>
      <c r="K43" s="84">
        <v>0.2</v>
      </c>
      <c r="L43" s="5"/>
      <c r="M43" s="35">
        <f t="shared" si="21"/>
        <v>0.096152</v>
      </c>
      <c r="N43" s="33">
        <f t="shared" si="22"/>
        <v>0.05768</v>
      </c>
      <c r="O43" s="33">
        <f t="shared" si="23"/>
        <v>7.2E-05</v>
      </c>
      <c r="P43" s="36">
        <f t="shared" si="24"/>
        <v>0.0384</v>
      </c>
      <c r="Q43" s="26">
        <f t="shared" si="14"/>
        <v>0.5998835177635411</v>
      </c>
      <c r="R43" s="27">
        <f t="shared" si="27"/>
        <v>0.000748814377236043</v>
      </c>
      <c r="S43" s="28">
        <f t="shared" si="15"/>
        <v>0.3993676678592229</v>
      </c>
      <c r="T43" s="26">
        <f t="shared" si="16"/>
        <v>0.78125</v>
      </c>
      <c r="U43" s="27"/>
      <c r="V43" s="28">
        <f t="shared" si="17"/>
        <v>0.21875</v>
      </c>
      <c r="W43" s="26">
        <f>C43/250000</f>
        <v>0.03</v>
      </c>
      <c r="X43" s="27"/>
      <c r="Y43" s="28">
        <f t="shared" si="26"/>
        <v>0.0084</v>
      </c>
      <c r="Z43" s="27"/>
    </row>
    <row r="44" spans="2:26" ht="15.75">
      <c r="B44" s="12" t="s">
        <v>4</v>
      </c>
      <c r="C44" s="18">
        <v>2000</v>
      </c>
      <c r="D44" s="18">
        <v>500</v>
      </c>
      <c r="E44" s="18">
        <v>2000</v>
      </c>
      <c r="F44" s="18">
        <v>375</v>
      </c>
      <c r="G44" s="18">
        <v>10000</v>
      </c>
      <c r="H44" s="81">
        <f t="shared" si="18"/>
        <v>14875</v>
      </c>
      <c r="I44" s="15">
        <f t="shared" si="19"/>
        <v>4875</v>
      </c>
      <c r="J44" s="15">
        <f t="shared" si="20"/>
        <v>4500</v>
      </c>
      <c r="K44" s="84">
        <v>0.21</v>
      </c>
      <c r="L44" s="5"/>
      <c r="M44" s="35">
        <f>H44/250000</f>
        <v>0.0595</v>
      </c>
      <c r="N44" s="33">
        <f>G44/250000</f>
        <v>0.04</v>
      </c>
      <c r="O44" s="33">
        <f>F44/250000</f>
        <v>0.0015</v>
      </c>
      <c r="P44" s="36">
        <f>J44/250000</f>
        <v>0.018</v>
      </c>
      <c r="Q44" s="26">
        <f t="shared" si="14"/>
        <v>0.6722689075630253</v>
      </c>
      <c r="R44" s="27">
        <f t="shared" si="27"/>
        <v>0.025210084033613446</v>
      </c>
      <c r="S44" s="28">
        <f t="shared" si="15"/>
        <v>0.3025210084033613</v>
      </c>
      <c r="T44" s="26">
        <f t="shared" si="16"/>
        <v>0.4444444444444444</v>
      </c>
      <c r="U44" s="27">
        <f>D44/J44</f>
        <v>0.1111111111111111</v>
      </c>
      <c r="V44" s="28">
        <f t="shared" si="17"/>
        <v>0.4444444444444444</v>
      </c>
      <c r="W44" s="26">
        <f>C44/250000</f>
        <v>0.008</v>
      </c>
      <c r="X44" s="27">
        <f>D44/250000</f>
        <v>0.002</v>
      </c>
      <c r="Y44" s="28">
        <f>E44/250000</f>
        <v>0.008</v>
      </c>
      <c r="Z44" s="27"/>
    </row>
    <row r="45" spans="2:26" ht="15.75">
      <c r="B45" s="12" t="s">
        <v>5</v>
      </c>
      <c r="C45" s="18">
        <f>0.06*D31</f>
        <v>15000</v>
      </c>
      <c r="D45" s="16" t="s">
        <v>43</v>
      </c>
      <c r="E45" s="18">
        <v>1950</v>
      </c>
      <c r="F45" s="18">
        <v>115</v>
      </c>
      <c r="G45" s="18">
        <f>(D31/2*0.03)+168+230</f>
        <v>4148</v>
      </c>
      <c r="H45" s="81">
        <f t="shared" si="18"/>
        <v>21213</v>
      </c>
      <c r="I45" s="15">
        <f t="shared" si="19"/>
        <v>17065</v>
      </c>
      <c r="J45" s="15">
        <f t="shared" si="20"/>
        <v>16950</v>
      </c>
      <c r="K45" s="84">
        <v>0.2</v>
      </c>
      <c r="L45" s="5"/>
      <c r="M45" s="35">
        <f t="shared" si="21"/>
        <v>0.084852</v>
      </c>
      <c r="N45" s="33">
        <f t="shared" si="22"/>
        <v>0.016592</v>
      </c>
      <c r="O45" s="33">
        <f t="shared" si="23"/>
        <v>0.00046</v>
      </c>
      <c r="P45" s="36">
        <f t="shared" si="24"/>
        <v>0.0678</v>
      </c>
      <c r="Q45" s="26">
        <f t="shared" si="14"/>
        <v>0.19554047046622355</v>
      </c>
      <c r="R45" s="27">
        <f aca="true" t="shared" si="28" ref="R45:R53">F45/H45</f>
        <v>0.0054212039786923115</v>
      </c>
      <c r="S45" s="28">
        <f t="shared" si="15"/>
        <v>0.7990383255550841</v>
      </c>
      <c r="T45" s="26">
        <f t="shared" si="16"/>
        <v>0.8849557522123894</v>
      </c>
      <c r="U45" s="27"/>
      <c r="V45" s="28">
        <f t="shared" si="17"/>
        <v>0.11504424778761062</v>
      </c>
      <c r="W45" s="26">
        <f t="shared" si="25"/>
        <v>0.06</v>
      </c>
      <c r="X45" s="27"/>
      <c r="Y45" s="28">
        <f t="shared" si="26"/>
        <v>0.0078</v>
      </c>
      <c r="Z45" s="27"/>
    </row>
    <row r="46" spans="2:26" ht="15.75">
      <c r="B46" s="12" t="s">
        <v>6</v>
      </c>
      <c r="C46" s="18">
        <v>4625</v>
      </c>
      <c r="D46" s="16" t="s">
        <v>43</v>
      </c>
      <c r="E46" s="18">
        <v>693</v>
      </c>
      <c r="F46" s="18">
        <f>73+40</f>
        <v>113</v>
      </c>
      <c r="G46" s="18">
        <v>15000</v>
      </c>
      <c r="H46" s="81">
        <f t="shared" si="18"/>
        <v>20431</v>
      </c>
      <c r="I46" s="15">
        <f t="shared" si="19"/>
        <v>5431</v>
      </c>
      <c r="J46" s="15">
        <f t="shared" si="20"/>
        <v>5318</v>
      </c>
      <c r="K46" s="84">
        <v>0.19</v>
      </c>
      <c r="L46" s="5"/>
      <c r="M46" s="35">
        <f>H46/250000</f>
        <v>0.081724</v>
      </c>
      <c r="N46" s="33">
        <f>G46/250000</f>
        <v>0.06</v>
      </c>
      <c r="O46" s="33">
        <f>F46/250000</f>
        <v>0.000452</v>
      </c>
      <c r="P46" s="36">
        <f>J46/250000</f>
        <v>0.021272</v>
      </c>
      <c r="Q46" s="26">
        <f t="shared" si="14"/>
        <v>0.7341784543096276</v>
      </c>
      <c r="R46" s="27">
        <f t="shared" si="28"/>
        <v>0.005530811022465861</v>
      </c>
      <c r="S46" s="28">
        <f t="shared" si="15"/>
        <v>0.2602907346679066</v>
      </c>
      <c r="T46" s="26">
        <f t="shared" si="16"/>
        <v>0.8696878525761564</v>
      </c>
      <c r="U46" s="27"/>
      <c r="V46" s="28">
        <f t="shared" si="17"/>
        <v>0.13031214742384356</v>
      </c>
      <c r="W46" s="26">
        <f>C46/250000</f>
        <v>0.0185</v>
      </c>
      <c r="X46" s="27"/>
      <c r="Y46" s="28">
        <f>E46/250000</f>
        <v>0.002772</v>
      </c>
      <c r="Z46" s="27"/>
    </row>
    <row r="47" spans="2:26" ht="15.75">
      <c r="B47" s="12" t="s">
        <v>7</v>
      </c>
      <c r="C47" s="18">
        <v>3750</v>
      </c>
      <c r="D47" s="16" t="s">
        <v>43</v>
      </c>
      <c r="E47" s="18">
        <v>1430</v>
      </c>
      <c r="F47" s="18">
        <v>50</v>
      </c>
      <c r="G47" s="18">
        <v>25000</v>
      </c>
      <c r="H47" s="81">
        <f t="shared" si="18"/>
        <v>30230</v>
      </c>
      <c r="I47" s="15">
        <f t="shared" si="19"/>
        <v>5230</v>
      </c>
      <c r="J47" s="15">
        <f t="shared" si="20"/>
        <v>5180</v>
      </c>
      <c r="K47" s="84">
        <v>0.22</v>
      </c>
      <c r="L47" s="5"/>
      <c r="M47" s="35">
        <f t="shared" si="21"/>
        <v>0.12092</v>
      </c>
      <c r="N47" s="33">
        <f t="shared" si="22"/>
        <v>0.1</v>
      </c>
      <c r="O47" s="33">
        <f t="shared" si="23"/>
        <v>0.0002</v>
      </c>
      <c r="P47" s="36">
        <f t="shared" si="24"/>
        <v>0.02072</v>
      </c>
      <c r="Q47" s="26">
        <f aca="true" t="shared" si="29" ref="Q47:Q53">G47/H47</f>
        <v>0.8269930532583526</v>
      </c>
      <c r="R47" s="27">
        <f t="shared" si="28"/>
        <v>0.0016539861065167053</v>
      </c>
      <c r="S47" s="28">
        <f aca="true" t="shared" si="30" ref="S47:S53">J47/H47</f>
        <v>0.17135296063513067</v>
      </c>
      <c r="T47" s="26">
        <f aca="true" t="shared" si="31" ref="T47:T53">C47/J47</f>
        <v>0.7239382239382239</v>
      </c>
      <c r="U47" s="27"/>
      <c r="V47" s="28">
        <f aca="true" t="shared" si="32" ref="V47:V53">E47/J47</f>
        <v>0.27606177606177607</v>
      </c>
      <c r="W47" s="26">
        <f t="shared" si="25"/>
        <v>0.015</v>
      </c>
      <c r="X47" s="27"/>
      <c r="Y47" s="28">
        <f t="shared" si="26"/>
        <v>0.00572</v>
      </c>
      <c r="Z47" s="27"/>
    </row>
    <row r="48" spans="2:26" ht="15.75">
      <c r="B48" s="12" t="s">
        <v>189</v>
      </c>
      <c r="C48" s="18">
        <f>18750/2</f>
        <v>9375</v>
      </c>
      <c r="D48" s="16">
        <v>275</v>
      </c>
      <c r="E48" s="18">
        <f>325+195.59</f>
        <v>520.59</v>
      </c>
      <c r="F48" s="18">
        <v>125</v>
      </c>
      <c r="G48" s="18">
        <v>2000</v>
      </c>
      <c r="H48" s="81">
        <f>SUM(C48:G48)</f>
        <v>12295.59</v>
      </c>
      <c r="I48" s="15">
        <f>SUM(C48:F48)</f>
        <v>10295.59</v>
      </c>
      <c r="J48" s="15">
        <f>SUM(C48:E48)</f>
        <v>10170.59</v>
      </c>
      <c r="K48" s="84">
        <v>0.21</v>
      </c>
      <c r="L48" s="5"/>
      <c r="M48" s="35">
        <f>H48/250000</f>
        <v>0.04918236</v>
      </c>
      <c r="N48" s="33">
        <f>G48/250000</f>
        <v>0.008</v>
      </c>
      <c r="O48" s="33">
        <f>F48/250000</f>
        <v>0.0005</v>
      </c>
      <c r="P48" s="36">
        <f>J48/250000</f>
        <v>0.04068236</v>
      </c>
      <c r="Q48" s="26">
        <f t="shared" si="29"/>
        <v>0.1626599455577162</v>
      </c>
      <c r="R48" s="27">
        <f>F48/H48</f>
        <v>0.010166246597357263</v>
      </c>
      <c r="S48" s="28">
        <f t="shared" si="30"/>
        <v>0.8271738078449266</v>
      </c>
      <c r="T48" s="26">
        <f t="shared" si="31"/>
        <v>0.9217754328903239</v>
      </c>
      <c r="U48" s="27">
        <f>D48/J48</f>
        <v>0.0270387460314495</v>
      </c>
      <c r="V48" s="28">
        <f t="shared" si="32"/>
        <v>0.051185821078226536</v>
      </c>
      <c r="W48" s="26">
        <f>C48/250000</f>
        <v>0.0375</v>
      </c>
      <c r="X48" s="27">
        <f>D48/250000</f>
        <v>0.0011</v>
      </c>
      <c r="Y48" s="28">
        <f>E48/250000</f>
        <v>0.00208236</v>
      </c>
      <c r="Z48" s="27"/>
    </row>
    <row r="49" spans="2:26" ht="15.75">
      <c r="B49" s="19" t="s">
        <v>8</v>
      </c>
      <c r="C49" s="18">
        <v>2500</v>
      </c>
      <c r="D49" s="18">
        <v>600</v>
      </c>
      <c r="E49" s="18">
        <v>1631</v>
      </c>
      <c r="F49" s="18">
        <v>554</v>
      </c>
      <c r="G49" s="18">
        <v>2506</v>
      </c>
      <c r="H49" s="81">
        <f t="shared" si="18"/>
        <v>7791</v>
      </c>
      <c r="I49" s="15">
        <f t="shared" si="19"/>
        <v>5285</v>
      </c>
      <c r="J49" s="15">
        <f t="shared" si="20"/>
        <v>4731</v>
      </c>
      <c r="K49" s="84">
        <v>0.175</v>
      </c>
      <c r="L49" s="5"/>
      <c r="M49" s="35">
        <f t="shared" si="21"/>
        <v>0.031164</v>
      </c>
      <c r="N49" s="33">
        <f t="shared" si="22"/>
        <v>0.010024</v>
      </c>
      <c r="O49" s="33">
        <f t="shared" si="23"/>
        <v>0.002216</v>
      </c>
      <c r="P49" s="36">
        <f t="shared" si="24"/>
        <v>0.018924</v>
      </c>
      <c r="Q49" s="26">
        <f t="shared" si="29"/>
        <v>0.3216531895777179</v>
      </c>
      <c r="R49" s="27">
        <f t="shared" si="28"/>
        <v>0.07110768835836222</v>
      </c>
      <c r="S49" s="28">
        <f t="shared" si="30"/>
        <v>0.60723912206392</v>
      </c>
      <c r="T49" s="26">
        <f t="shared" si="31"/>
        <v>0.528429507503699</v>
      </c>
      <c r="U49" s="27">
        <f>D49/J49</f>
        <v>0.12682308180088775</v>
      </c>
      <c r="V49" s="28">
        <f t="shared" si="32"/>
        <v>0.34474741069541326</v>
      </c>
      <c r="W49" s="26">
        <f t="shared" si="25"/>
        <v>0.01</v>
      </c>
      <c r="X49" s="27">
        <f>D49/250000</f>
        <v>0.0024</v>
      </c>
      <c r="Y49" s="28">
        <f t="shared" si="26"/>
        <v>0.006524</v>
      </c>
      <c r="Z49" s="27"/>
    </row>
    <row r="50" spans="2:26" ht="15.75">
      <c r="B50" s="19" t="s">
        <v>188</v>
      </c>
      <c r="C50" s="18">
        <v>2150</v>
      </c>
      <c r="D50" s="18">
        <v>230</v>
      </c>
      <c r="E50" s="18">
        <v>420</v>
      </c>
      <c r="F50" s="18">
        <v>60</v>
      </c>
      <c r="G50" s="18">
        <v>0</v>
      </c>
      <c r="H50" s="81">
        <f>SUM(C50:G50)</f>
        <v>2860</v>
      </c>
      <c r="I50" s="15">
        <f>SUM(C50:F50)</f>
        <v>2860</v>
      </c>
      <c r="J50" s="15">
        <f>SUM(C50:E50)</f>
        <v>2800</v>
      </c>
      <c r="K50" s="84">
        <v>0.19</v>
      </c>
      <c r="L50" s="5"/>
      <c r="M50" s="35">
        <f t="shared" si="21"/>
        <v>0.01144</v>
      </c>
      <c r="N50" s="33">
        <f t="shared" si="22"/>
        <v>0</v>
      </c>
      <c r="O50" s="33">
        <f t="shared" si="23"/>
        <v>0.00024</v>
      </c>
      <c r="P50" s="36">
        <f t="shared" si="24"/>
        <v>0.0112</v>
      </c>
      <c r="Q50" s="26">
        <f t="shared" si="29"/>
        <v>0</v>
      </c>
      <c r="R50" s="27">
        <f t="shared" si="28"/>
        <v>0.02097902097902098</v>
      </c>
      <c r="S50" s="28">
        <f t="shared" si="30"/>
        <v>0.9790209790209791</v>
      </c>
      <c r="T50" s="26">
        <f t="shared" si="31"/>
        <v>0.7678571428571429</v>
      </c>
      <c r="U50" s="27">
        <f>D50/J50</f>
        <v>0.08214285714285714</v>
      </c>
      <c r="V50" s="28">
        <f t="shared" si="32"/>
        <v>0.15</v>
      </c>
      <c r="W50" s="26">
        <f t="shared" si="25"/>
        <v>0.0086</v>
      </c>
      <c r="X50" s="27">
        <f>D50/250000</f>
        <v>0.00092</v>
      </c>
      <c r="Y50" s="28">
        <f t="shared" si="26"/>
        <v>0.00168</v>
      </c>
      <c r="Z50" s="27"/>
    </row>
    <row r="51" spans="2:26" ht="15.75">
      <c r="B51" s="12" t="s">
        <v>16</v>
      </c>
      <c r="C51" s="18">
        <f>0.04*D31</f>
        <v>10000</v>
      </c>
      <c r="D51" s="16" t="s">
        <v>43</v>
      </c>
      <c r="E51" s="18">
        <f>967.5</f>
        <v>967.5</v>
      </c>
      <c r="F51" s="18">
        <v>88</v>
      </c>
      <c r="G51" s="18">
        <f>0.02*D31</f>
        <v>5000</v>
      </c>
      <c r="H51" s="81">
        <f t="shared" si="18"/>
        <v>16055.5</v>
      </c>
      <c r="I51" s="15">
        <f t="shared" si="19"/>
        <v>11055.5</v>
      </c>
      <c r="J51" s="15">
        <f t="shared" si="20"/>
        <v>10967.5</v>
      </c>
      <c r="K51" s="84">
        <v>0.19</v>
      </c>
      <c r="L51" s="5"/>
      <c r="M51" s="35">
        <f t="shared" si="21"/>
        <v>0.064222</v>
      </c>
      <c r="N51" s="33">
        <f t="shared" si="22"/>
        <v>0.02</v>
      </c>
      <c r="O51" s="33">
        <f t="shared" si="23"/>
        <v>0.000352</v>
      </c>
      <c r="P51" s="36">
        <f t="shared" si="24"/>
        <v>0.04387</v>
      </c>
      <c r="Q51" s="26">
        <f t="shared" si="29"/>
        <v>0.3114197626981408</v>
      </c>
      <c r="R51" s="27">
        <f t="shared" si="28"/>
        <v>0.005480987823487279</v>
      </c>
      <c r="S51" s="28">
        <f t="shared" si="30"/>
        <v>0.6830992494783719</v>
      </c>
      <c r="T51" s="26">
        <f t="shared" si="31"/>
        <v>0.9117848187827673</v>
      </c>
      <c r="U51" s="27"/>
      <c r="V51" s="28">
        <f t="shared" si="32"/>
        <v>0.08821518121723274</v>
      </c>
      <c r="W51" s="26">
        <f t="shared" si="25"/>
        <v>0.04</v>
      </c>
      <c r="X51" s="27"/>
      <c r="Y51" s="28">
        <f t="shared" si="26"/>
        <v>0.00387</v>
      </c>
      <c r="Z51" s="27"/>
    </row>
    <row r="52" spans="2:26" ht="15.75">
      <c r="B52" s="12" t="s">
        <v>9</v>
      </c>
      <c r="C52" s="18">
        <f>D31*0.06</f>
        <v>15000</v>
      </c>
      <c r="D52" s="16" t="s">
        <v>43</v>
      </c>
      <c r="E52" s="18">
        <f>347+316</f>
        <v>663</v>
      </c>
      <c r="F52" s="18">
        <v>181</v>
      </c>
      <c r="G52" s="18">
        <f>D31*0.07</f>
        <v>17500</v>
      </c>
      <c r="H52" s="81">
        <f t="shared" si="18"/>
        <v>33344</v>
      </c>
      <c r="I52" s="15">
        <f t="shared" si="19"/>
        <v>15844</v>
      </c>
      <c r="J52" s="15">
        <f t="shared" si="20"/>
        <v>15663</v>
      </c>
      <c r="K52" s="84">
        <v>0.16</v>
      </c>
      <c r="L52" s="5"/>
      <c r="M52" s="35">
        <f t="shared" si="21"/>
        <v>0.133376</v>
      </c>
      <c r="N52" s="33">
        <f t="shared" si="22"/>
        <v>0.07</v>
      </c>
      <c r="O52" s="33">
        <f t="shared" si="23"/>
        <v>0.000724</v>
      </c>
      <c r="P52" s="36">
        <f t="shared" si="24"/>
        <v>0.062652</v>
      </c>
      <c r="Q52" s="26">
        <f t="shared" si="29"/>
        <v>0.5248320537428023</v>
      </c>
      <c r="R52" s="27">
        <f t="shared" si="28"/>
        <v>0.005428262955854126</v>
      </c>
      <c r="S52" s="28">
        <f t="shared" si="30"/>
        <v>0.4697396833013436</v>
      </c>
      <c r="T52" s="26">
        <f t="shared" si="31"/>
        <v>0.957670944263551</v>
      </c>
      <c r="U52" s="27"/>
      <c r="V52" s="28">
        <f t="shared" si="32"/>
        <v>0.042329055736448955</v>
      </c>
      <c r="W52" s="26">
        <f t="shared" si="25"/>
        <v>0.06</v>
      </c>
      <c r="X52" s="27"/>
      <c r="Y52" s="28">
        <f t="shared" si="26"/>
        <v>0.002652</v>
      </c>
      <c r="Z52" s="27"/>
    </row>
    <row r="53" spans="2:26" ht="15.75">
      <c r="B53" s="20" t="s">
        <v>10</v>
      </c>
      <c r="C53" s="21">
        <v>7800</v>
      </c>
      <c r="D53" s="21">
        <v>400</v>
      </c>
      <c r="E53" s="21">
        <v>0</v>
      </c>
      <c r="F53" s="21">
        <v>90</v>
      </c>
      <c r="G53" s="21">
        <v>3750</v>
      </c>
      <c r="H53" s="82">
        <f t="shared" si="18"/>
        <v>12040</v>
      </c>
      <c r="I53" s="22">
        <f t="shared" si="19"/>
        <v>8290</v>
      </c>
      <c r="J53" s="22">
        <f t="shared" si="20"/>
        <v>8200</v>
      </c>
      <c r="K53" s="85">
        <v>0.25</v>
      </c>
      <c r="L53" s="5"/>
      <c r="M53" s="35">
        <f t="shared" si="21"/>
        <v>0.04816</v>
      </c>
      <c r="N53" s="33">
        <f t="shared" si="22"/>
        <v>0.015</v>
      </c>
      <c r="O53" s="33">
        <f t="shared" si="23"/>
        <v>0.00036</v>
      </c>
      <c r="P53" s="36">
        <f t="shared" si="24"/>
        <v>0.0328</v>
      </c>
      <c r="Q53" s="26">
        <f t="shared" si="29"/>
        <v>0.31146179401993357</v>
      </c>
      <c r="R53" s="27">
        <f t="shared" si="28"/>
        <v>0.007475083056478406</v>
      </c>
      <c r="S53" s="28">
        <f t="shared" si="30"/>
        <v>0.6810631229235881</v>
      </c>
      <c r="T53" s="26">
        <f t="shared" si="31"/>
        <v>0.9512195121951219</v>
      </c>
      <c r="U53" s="27">
        <f>D53/J53</f>
        <v>0.04878048780487805</v>
      </c>
      <c r="V53" s="28">
        <f t="shared" si="32"/>
        <v>0</v>
      </c>
      <c r="W53" s="44">
        <f t="shared" si="25"/>
        <v>0.0312</v>
      </c>
      <c r="X53" s="27">
        <f>D53/250000</f>
        <v>0.0016</v>
      </c>
      <c r="Y53" s="45">
        <f t="shared" si="26"/>
        <v>0</v>
      </c>
      <c r="Z53" s="55"/>
    </row>
    <row r="54" spans="2:26" ht="15.75">
      <c r="B54" s="42" t="s">
        <v>27</v>
      </c>
      <c r="C54" s="70">
        <f>(SUM(C34:C53))/D55</f>
        <v>8441.925</v>
      </c>
      <c r="D54" s="70">
        <f>(SUM(D34:D53))/I55</f>
        <v>500</v>
      </c>
      <c r="E54" s="70">
        <f>(SUM(E34:E53))/D55</f>
        <v>1457.7045</v>
      </c>
      <c r="F54" s="70">
        <f>(SUM(F34:F53))/D55</f>
        <v>459.3</v>
      </c>
      <c r="G54" s="70">
        <f>(SUM(G34:G53))/D55</f>
        <v>9937.2</v>
      </c>
      <c r="H54" s="82">
        <f>(SUM(H34:H53))/D55</f>
        <v>20571.129500000003</v>
      </c>
      <c r="I54" s="70">
        <f>(SUM(I34:I53))/D55</f>
        <v>10633.9295</v>
      </c>
      <c r="J54" s="70">
        <f>(SUM(J34:J53))/D55</f>
        <v>10174.6295</v>
      </c>
      <c r="K54" s="41"/>
      <c r="L54" s="29" t="s">
        <v>27</v>
      </c>
      <c r="M54" s="52">
        <f>(SUM(M34:M53))/D55</f>
        <v>0.08228451799999999</v>
      </c>
      <c r="N54" s="53">
        <f>(SUM(N34:N53))/D55</f>
        <v>0.0397488</v>
      </c>
      <c r="O54" s="53">
        <f>(SUM(O34:O53))/D55</f>
        <v>0.0018372</v>
      </c>
      <c r="P54" s="53">
        <f>(SUM(P34:P53))/D55</f>
        <v>0.040698518</v>
      </c>
      <c r="Q54" s="52">
        <f>(SUM(Q34:Q53))/D55</f>
        <v>0.39845996605031203</v>
      </c>
      <c r="R54" s="53">
        <f>(SUM(R34:R53))/D55</f>
        <v>0.02571843080681909</v>
      </c>
      <c r="S54" s="53">
        <f>(SUM(S34:S53))/D55</f>
        <v>0.5758216031428687</v>
      </c>
      <c r="T54" s="52">
        <f>(SUM(T34:T53))/D55</f>
        <v>0.8027004810000428</v>
      </c>
      <c r="U54" s="53">
        <f>(SUM(U34:U53))/D55</f>
        <v>0.03624899694935684</v>
      </c>
      <c r="V54" s="53">
        <f>(SUM(V34:V53))/D55</f>
        <v>0.15943761882479404</v>
      </c>
      <c r="W54" s="52">
        <f>(SUM(W34:W53))/D55</f>
        <v>0.033767700000000005</v>
      </c>
      <c r="X54" s="53">
        <f>(SUM(X34:X53))/I55</f>
        <v>0.002</v>
      </c>
      <c r="Y54" s="54">
        <f>(SUM(Y34:Y53))/D55</f>
        <v>0.005830818000000001</v>
      </c>
      <c r="Z54" s="32"/>
    </row>
    <row r="55" spans="2:26" ht="15.75">
      <c r="B55" s="64"/>
      <c r="C55" s="65" t="s">
        <v>44</v>
      </c>
      <c r="D55" s="66">
        <v>20</v>
      </c>
      <c r="E55" s="67"/>
      <c r="F55" s="65"/>
      <c r="G55" s="65"/>
      <c r="H55" s="65" t="s">
        <v>52</v>
      </c>
      <c r="I55" s="66">
        <v>11</v>
      </c>
      <c r="J55" s="68"/>
      <c r="K55" s="41"/>
      <c r="L55" s="3"/>
      <c r="M55" s="3"/>
      <c r="N55" s="3"/>
      <c r="O55" s="3"/>
      <c r="P55" s="3"/>
      <c r="T55" s="50" t="s">
        <v>51</v>
      </c>
      <c r="U55" s="31">
        <f>(SUM(U34:U53))/I55</f>
        <v>0.06590726718064881</v>
      </c>
      <c r="W55" s="47"/>
      <c r="X55" s="46"/>
      <c r="Y55" s="47"/>
      <c r="Z55" s="49"/>
    </row>
    <row r="56" spans="3:26" ht="15.75">
      <c r="C56" s="69"/>
      <c r="L56" s="3"/>
      <c r="M56" s="3"/>
      <c r="N56" s="3"/>
      <c r="O56" s="3"/>
      <c r="P56" s="3"/>
      <c r="V56" s="51"/>
      <c r="W56" s="48"/>
      <c r="Y56" s="48"/>
      <c r="Z56" s="48"/>
    </row>
    <row r="57" spans="2:26" ht="15.75">
      <c r="B57" t="s">
        <v>20</v>
      </c>
      <c r="C57" s="17"/>
      <c r="L57" s="3"/>
      <c r="M57" s="3"/>
      <c r="N57" s="3"/>
      <c r="O57" s="3"/>
      <c r="P57" s="3"/>
      <c r="V57" s="51"/>
      <c r="W57" s="48"/>
      <c r="Y57" s="48"/>
      <c r="Z57" s="48"/>
    </row>
    <row r="58" spans="2:26" ht="12.75">
      <c r="B58" t="s">
        <v>41</v>
      </c>
      <c r="U58" s="31"/>
      <c r="W58" s="49"/>
      <c r="X58" s="32"/>
      <c r="Y58" s="49"/>
      <c r="Z58" s="49"/>
    </row>
    <row r="59" spans="2:21" ht="12.75">
      <c r="B59" s="79" t="s">
        <v>54</v>
      </c>
      <c r="U59" s="31"/>
    </row>
    <row r="60" spans="2:21" ht="12.75">
      <c r="B60" t="s">
        <v>53</v>
      </c>
      <c r="U60" s="31"/>
    </row>
    <row r="61" spans="2:21" ht="12.75">
      <c r="B61" s="73" t="s">
        <v>184</v>
      </c>
      <c r="U61" s="31"/>
    </row>
    <row r="62" spans="2:21" ht="12.75">
      <c r="B62" s="73" t="s">
        <v>50</v>
      </c>
      <c r="U62" s="31"/>
    </row>
    <row r="63" spans="2:21" ht="12.75">
      <c r="B63" s="73"/>
      <c r="U63" s="31"/>
    </row>
    <row r="64" ht="12.75">
      <c r="B64" s="73"/>
    </row>
    <row r="65" spans="2:26" ht="12.75">
      <c r="B65" s="7"/>
      <c r="C65" s="8"/>
      <c r="D65" s="9">
        <v>500000</v>
      </c>
      <c r="E65" s="10" t="s">
        <v>119</v>
      </c>
      <c r="F65" s="8"/>
      <c r="G65" s="8"/>
      <c r="H65" s="8"/>
      <c r="I65" s="8"/>
      <c r="J65" s="8"/>
      <c r="K65" s="11"/>
      <c r="M65" s="34"/>
      <c r="N65" s="40" t="s">
        <v>28</v>
      </c>
      <c r="O65" s="30"/>
      <c r="P65" s="11"/>
      <c r="Q65" s="7"/>
      <c r="R65" s="30" t="s">
        <v>21</v>
      </c>
      <c r="S65" s="11"/>
      <c r="T65" s="7"/>
      <c r="U65" s="30" t="s">
        <v>24</v>
      </c>
      <c r="V65" s="11"/>
      <c r="W65" s="7"/>
      <c r="X65" s="30" t="s">
        <v>39</v>
      </c>
      <c r="Y65" s="11"/>
      <c r="Z65" s="2"/>
    </row>
    <row r="66" spans="2:26" ht="12.75">
      <c r="B66" s="12"/>
      <c r="C66" s="2"/>
      <c r="D66" s="2"/>
      <c r="E66" s="2"/>
      <c r="F66" s="2"/>
      <c r="G66" s="2"/>
      <c r="H66" s="2"/>
      <c r="I66" s="2"/>
      <c r="J66" s="2"/>
      <c r="K66" s="13"/>
      <c r="M66" s="37"/>
      <c r="N66" s="38" t="s">
        <v>30</v>
      </c>
      <c r="O66" s="38"/>
      <c r="P66" s="39"/>
      <c r="Q66" s="12"/>
      <c r="R66" s="38" t="s">
        <v>30</v>
      </c>
      <c r="S66" s="13"/>
      <c r="T66" s="12"/>
      <c r="U66" s="38" t="s">
        <v>30</v>
      </c>
      <c r="V66" s="13"/>
      <c r="W66" s="12"/>
      <c r="X66" s="38" t="s">
        <v>30</v>
      </c>
      <c r="Y66" s="13"/>
      <c r="Z66" s="2"/>
    </row>
    <row r="67" spans="2:26" ht="12.75">
      <c r="B67" s="56" t="s">
        <v>11</v>
      </c>
      <c r="C67" s="58" t="s">
        <v>40</v>
      </c>
      <c r="D67" s="58" t="s">
        <v>32</v>
      </c>
      <c r="E67" s="58" t="s">
        <v>46</v>
      </c>
      <c r="F67" s="58" t="s">
        <v>33</v>
      </c>
      <c r="G67" s="58" t="s">
        <v>17</v>
      </c>
      <c r="H67" s="58" t="s">
        <v>34</v>
      </c>
      <c r="I67" s="58" t="s">
        <v>36</v>
      </c>
      <c r="J67" s="58" t="s">
        <v>42</v>
      </c>
      <c r="K67" s="59" t="s">
        <v>18</v>
      </c>
      <c r="L67" s="23"/>
      <c r="M67" s="57" t="s">
        <v>37</v>
      </c>
      <c r="N67" s="58" t="s">
        <v>22</v>
      </c>
      <c r="O67" s="58" t="s">
        <v>23</v>
      </c>
      <c r="P67" s="60" t="s">
        <v>38</v>
      </c>
      <c r="Q67" s="61" t="s">
        <v>22</v>
      </c>
      <c r="R67" s="62" t="s">
        <v>23</v>
      </c>
      <c r="S67" s="60" t="s">
        <v>38</v>
      </c>
      <c r="T67" s="61" t="s">
        <v>25</v>
      </c>
      <c r="U67" s="62" t="s">
        <v>26</v>
      </c>
      <c r="V67" s="60" t="s">
        <v>47</v>
      </c>
      <c r="W67" s="61" t="s">
        <v>25</v>
      </c>
      <c r="X67" s="62" t="s">
        <v>26</v>
      </c>
      <c r="Y67" s="60" t="s">
        <v>47</v>
      </c>
      <c r="Z67" s="24"/>
    </row>
    <row r="68" spans="2:26" ht="12.75">
      <c r="B68" s="14" t="s">
        <v>12</v>
      </c>
      <c r="C68" s="15">
        <v>30000</v>
      </c>
      <c r="D68" s="16" t="s">
        <v>43</v>
      </c>
      <c r="E68" s="15">
        <v>2900</v>
      </c>
      <c r="F68" s="15">
        <f>D65*0.01</f>
        <v>5000</v>
      </c>
      <c r="G68" s="15">
        <f>D65*0.035</f>
        <v>17500</v>
      </c>
      <c r="H68" s="80">
        <f>SUM(C68:G68)</f>
        <v>55400</v>
      </c>
      <c r="I68" s="15">
        <f>SUM(C68:F68)</f>
        <v>37900</v>
      </c>
      <c r="J68" s="15">
        <f>SUM(C68:E68)</f>
        <v>32900</v>
      </c>
      <c r="K68" s="83">
        <v>0.2</v>
      </c>
      <c r="L68" s="4"/>
      <c r="M68" s="35">
        <f>H68/500000</f>
        <v>0.1108</v>
      </c>
      <c r="N68" s="33">
        <f>G68/500000</f>
        <v>0.035</v>
      </c>
      <c r="O68" s="33">
        <f>F68/500000</f>
        <v>0.01</v>
      </c>
      <c r="P68" s="36">
        <f>J68/500000</f>
        <v>0.0658</v>
      </c>
      <c r="Q68" s="26">
        <f>G68/H68</f>
        <v>0.315884476534296</v>
      </c>
      <c r="R68" s="27">
        <f>F68/H68</f>
        <v>0.09025270758122744</v>
      </c>
      <c r="S68" s="28">
        <f aca="true" t="shared" si="33" ref="S68:S80">J68/H68</f>
        <v>0.5938628158844765</v>
      </c>
      <c r="T68" s="26">
        <f aca="true" t="shared" si="34" ref="T68:T80">C68/J68</f>
        <v>0.9118541033434651</v>
      </c>
      <c r="U68" s="27"/>
      <c r="V68" s="28">
        <f aca="true" t="shared" si="35" ref="V68:V80">E68/J68</f>
        <v>0.08814589665653495</v>
      </c>
      <c r="W68" s="26">
        <f>C68/500000</f>
        <v>0.06</v>
      </c>
      <c r="X68" s="27"/>
      <c r="Y68" s="28">
        <f>E68/500000</f>
        <v>0.0058</v>
      </c>
      <c r="Z68" s="27"/>
    </row>
    <row r="69" spans="2:26" ht="15.75">
      <c r="B69" s="14" t="s">
        <v>13</v>
      </c>
      <c r="C69" s="15">
        <f>D65*0.03</f>
        <v>15000</v>
      </c>
      <c r="D69" s="16" t="s">
        <v>43</v>
      </c>
      <c r="E69" s="15">
        <v>2592</v>
      </c>
      <c r="F69" s="15">
        <v>1650</v>
      </c>
      <c r="G69" s="15">
        <f>D65*0.115</f>
        <v>57500</v>
      </c>
      <c r="H69" s="81">
        <f aca="true" t="shared" si="36" ref="H69:H87">SUM(C69:G69)</f>
        <v>76742</v>
      </c>
      <c r="I69" s="15">
        <f aca="true" t="shared" si="37" ref="I69:I87">SUM(C69:F69)</f>
        <v>19242</v>
      </c>
      <c r="J69" s="15">
        <f aca="true" t="shared" si="38" ref="J69:J87">SUM(C69:E69)</f>
        <v>17592</v>
      </c>
      <c r="K69" s="84">
        <v>0.21</v>
      </c>
      <c r="L69" s="5"/>
      <c r="M69" s="35">
        <f aca="true" t="shared" si="39" ref="M69:M87">H69/500000</f>
        <v>0.153484</v>
      </c>
      <c r="N69" s="33">
        <f aca="true" t="shared" si="40" ref="N69:N87">G69/500000</f>
        <v>0.115</v>
      </c>
      <c r="O69" s="33">
        <f aca="true" t="shared" si="41" ref="O69:O87">F69/500000</f>
        <v>0.0033</v>
      </c>
      <c r="P69" s="36">
        <f aca="true" t="shared" si="42" ref="P69:P87">J69/500000</f>
        <v>0.035184</v>
      </c>
      <c r="Q69" s="26">
        <f>G69/H69</f>
        <v>0.7492637669072998</v>
      </c>
      <c r="R69" s="27">
        <f>F69/H69</f>
        <v>0.021500612441687734</v>
      </c>
      <c r="S69" s="28">
        <f t="shared" si="33"/>
        <v>0.2292356206510125</v>
      </c>
      <c r="T69" s="26">
        <f t="shared" si="34"/>
        <v>0.8526603001364257</v>
      </c>
      <c r="U69" s="27"/>
      <c r="V69" s="28">
        <f t="shared" si="35"/>
        <v>0.14733969986357434</v>
      </c>
      <c r="W69" s="26">
        <f aca="true" t="shared" si="43" ref="W69:W87">C69/500000</f>
        <v>0.03</v>
      </c>
      <c r="X69" s="27"/>
      <c r="Y69" s="28">
        <f aca="true" t="shared" si="44" ref="Y69:Y87">E69/500000</f>
        <v>0.005184</v>
      </c>
      <c r="Z69" s="27"/>
    </row>
    <row r="70" spans="2:26" ht="15.75">
      <c r="B70" s="14" t="s">
        <v>154</v>
      </c>
      <c r="C70" s="15">
        <v>15000</v>
      </c>
      <c r="D70" s="16">
        <v>500</v>
      </c>
      <c r="E70" s="15">
        <v>500</v>
      </c>
      <c r="F70" s="15">
        <v>17</v>
      </c>
      <c r="G70" s="15">
        <v>0</v>
      </c>
      <c r="H70" s="81">
        <f t="shared" si="36"/>
        <v>16017</v>
      </c>
      <c r="I70" s="15">
        <f t="shared" si="37"/>
        <v>16017</v>
      </c>
      <c r="J70" s="15">
        <f t="shared" si="38"/>
        <v>16000</v>
      </c>
      <c r="K70" s="84">
        <v>0.19</v>
      </c>
      <c r="L70" s="5"/>
      <c r="M70" s="35">
        <f t="shared" si="39"/>
        <v>0.032034</v>
      </c>
      <c r="N70" s="33">
        <f t="shared" si="40"/>
        <v>0</v>
      </c>
      <c r="O70" s="33">
        <f t="shared" si="41"/>
        <v>3.4E-05</v>
      </c>
      <c r="P70" s="36">
        <f t="shared" si="42"/>
        <v>0.032</v>
      </c>
      <c r="Q70" s="26">
        <f>G70/H70</f>
        <v>0</v>
      </c>
      <c r="R70" s="27">
        <f>F70/H70</f>
        <v>0.001061372291939814</v>
      </c>
      <c r="S70" s="28">
        <f t="shared" si="33"/>
        <v>0.9989386277080602</v>
      </c>
      <c r="T70" s="26">
        <f t="shared" si="34"/>
        <v>0.9375</v>
      </c>
      <c r="U70" s="27">
        <f>D70/J70</f>
        <v>0.03125</v>
      </c>
      <c r="V70" s="28">
        <f t="shared" si="35"/>
        <v>0.03125</v>
      </c>
      <c r="W70" s="26">
        <f t="shared" si="43"/>
        <v>0.03</v>
      </c>
      <c r="X70" s="27">
        <f>D70/500000</f>
        <v>0.001</v>
      </c>
      <c r="Y70" s="28">
        <f t="shared" si="44"/>
        <v>0.001</v>
      </c>
      <c r="Z70" s="27"/>
    </row>
    <row r="71" spans="2:26" ht="15.75">
      <c r="B71" s="12" t="s">
        <v>14</v>
      </c>
      <c r="C71" s="18">
        <v>13747</v>
      </c>
      <c r="D71" s="18">
        <v>1020</v>
      </c>
      <c r="E71" s="18">
        <v>1013</v>
      </c>
      <c r="F71" s="18">
        <v>3187</v>
      </c>
      <c r="G71" s="18">
        <v>0</v>
      </c>
      <c r="H71" s="81">
        <f t="shared" si="36"/>
        <v>18967</v>
      </c>
      <c r="I71" s="15">
        <f t="shared" si="37"/>
        <v>18967</v>
      </c>
      <c r="J71" s="15">
        <f t="shared" si="38"/>
        <v>15780</v>
      </c>
      <c r="K71" s="84">
        <v>0.25</v>
      </c>
      <c r="L71" s="5"/>
      <c r="M71" s="35">
        <f t="shared" si="39"/>
        <v>0.037934</v>
      </c>
      <c r="N71" s="33">
        <f t="shared" si="40"/>
        <v>0</v>
      </c>
      <c r="O71" s="33">
        <f t="shared" si="41"/>
        <v>0.006374</v>
      </c>
      <c r="P71" s="36">
        <f t="shared" si="42"/>
        <v>0.03156</v>
      </c>
      <c r="Q71" s="26">
        <f>G71/H71</f>
        <v>0</v>
      </c>
      <c r="R71" s="27">
        <f>F71/H71</f>
        <v>0.1680286813940001</v>
      </c>
      <c r="S71" s="28">
        <f t="shared" si="33"/>
        <v>0.8319713186059999</v>
      </c>
      <c r="T71" s="26">
        <f t="shared" si="34"/>
        <v>0.8711660329531052</v>
      </c>
      <c r="U71" s="27">
        <f>D71/J71</f>
        <v>0.06463878326996197</v>
      </c>
      <c r="V71" s="28">
        <f t="shared" si="35"/>
        <v>0.06419518377693283</v>
      </c>
      <c r="W71" s="44">
        <f t="shared" si="43"/>
        <v>0.027494</v>
      </c>
      <c r="X71" s="27">
        <f>D71/500000</f>
        <v>0.00204</v>
      </c>
      <c r="Y71" s="45">
        <f t="shared" si="44"/>
        <v>0.002026</v>
      </c>
      <c r="Z71" s="55"/>
    </row>
    <row r="72" spans="2:26" ht="15.75">
      <c r="B72" s="12" t="s">
        <v>0</v>
      </c>
      <c r="C72" s="18">
        <v>7001</v>
      </c>
      <c r="D72" s="18">
        <f>450*1.5</f>
        <v>675</v>
      </c>
      <c r="E72" s="18">
        <v>1350</v>
      </c>
      <c r="F72" s="18">
        <f>220*1.5</f>
        <v>330</v>
      </c>
      <c r="G72" s="18">
        <v>15075</v>
      </c>
      <c r="H72" s="81">
        <f t="shared" si="36"/>
        <v>24431</v>
      </c>
      <c r="I72" s="15">
        <f t="shared" si="37"/>
        <v>9356</v>
      </c>
      <c r="J72" s="15">
        <f t="shared" si="38"/>
        <v>9026</v>
      </c>
      <c r="K72" s="84">
        <v>0.175</v>
      </c>
      <c r="L72" s="5"/>
      <c r="M72" s="35">
        <f t="shared" si="39"/>
        <v>0.048862</v>
      </c>
      <c r="N72" s="33">
        <f t="shared" si="40"/>
        <v>0.03015</v>
      </c>
      <c r="O72" s="33">
        <f t="shared" si="41"/>
        <v>0.00066</v>
      </c>
      <c r="P72" s="36">
        <f t="shared" si="42"/>
        <v>0.018052</v>
      </c>
      <c r="Q72" s="26">
        <f>G72/H72</f>
        <v>0.6170439196103311</v>
      </c>
      <c r="R72" s="27">
        <f>F72/H72</f>
        <v>0.0135074290859973</v>
      </c>
      <c r="S72" s="28">
        <f t="shared" si="33"/>
        <v>0.36944865130367155</v>
      </c>
      <c r="T72" s="26">
        <f t="shared" si="34"/>
        <v>0.7756481276312874</v>
      </c>
      <c r="U72" s="27">
        <f>D72/J72</f>
        <v>0.07478395745623753</v>
      </c>
      <c r="V72" s="28">
        <f t="shared" si="35"/>
        <v>0.14956791491247506</v>
      </c>
      <c r="W72" s="26">
        <f t="shared" si="43"/>
        <v>0.014002</v>
      </c>
      <c r="X72" s="27">
        <f>D72/500000</f>
        <v>0.00135</v>
      </c>
      <c r="Y72" s="28">
        <f t="shared" si="44"/>
        <v>0.0027</v>
      </c>
      <c r="Z72" s="27"/>
    </row>
    <row r="73" spans="2:26" ht="15.75">
      <c r="B73" s="12" t="s">
        <v>1</v>
      </c>
      <c r="C73" s="18">
        <f>D65*0.03125</f>
        <v>15625</v>
      </c>
      <c r="D73" s="18">
        <v>600</v>
      </c>
      <c r="E73" s="18">
        <v>77</v>
      </c>
      <c r="F73" s="18">
        <v>65</v>
      </c>
      <c r="G73" s="18">
        <v>20000</v>
      </c>
      <c r="H73" s="81">
        <f t="shared" si="36"/>
        <v>36367</v>
      </c>
      <c r="I73" s="15">
        <f t="shared" si="37"/>
        <v>16367</v>
      </c>
      <c r="J73" s="15">
        <f t="shared" si="38"/>
        <v>16302</v>
      </c>
      <c r="K73" s="84">
        <v>0.28</v>
      </c>
      <c r="L73" s="5"/>
      <c r="M73" s="35">
        <f t="shared" si="39"/>
        <v>0.072734</v>
      </c>
      <c r="N73" s="33">
        <f t="shared" si="40"/>
        <v>0.04</v>
      </c>
      <c r="O73" s="33">
        <f t="shared" si="41"/>
        <v>0.00013</v>
      </c>
      <c r="P73" s="36">
        <f t="shared" si="42"/>
        <v>0.032604</v>
      </c>
      <c r="Q73" s="26">
        <f aca="true" t="shared" si="45" ref="Q73:Q80">G73/H73</f>
        <v>0.5499491297055022</v>
      </c>
      <c r="R73" s="27">
        <f aca="true" t="shared" si="46" ref="R73:R80">F73/H73</f>
        <v>0.0017873346715428823</v>
      </c>
      <c r="S73" s="28">
        <f t="shared" si="33"/>
        <v>0.4482635356229549</v>
      </c>
      <c r="T73" s="26">
        <f t="shared" si="34"/>
        <v>0.9584713532081953</v>
      </c>
      <c r="U73" s="27">
        <f>D73/J73</f>
        <v>0.0368052999631947</v>
      </c>
      <c r="V73" s="28">
        <f t="shared" si="35"/>
        <v>0.004723346828609987</v>
      </c>
      <c r="W73" s="44">
        <f t="shared" si="43"/>
        <v>0.03125</v>
      </c>
      <c r="X73" s="27">
        <f>D73/500000</f>
        <v>0.0012</v>
      </c>
      <c r="Y73" s="45">
        <f t="shared" si="44"/>
        <v>0.000154</v>
      </c>
      <c r="Z73" s="55"/>
    </row>
    <row r="74" spans="2:26" ht="15.75">
      <c r="B74" s="12" t="s">
        <v>2</v>
      </c>
      <c r="C74" s="18">
        <f>D65*0.06</f>
        <v>30000</v>
      </c>
      <c r="D74" s="16">
        <v>500</v>
      </c>
      <c r="E74" s="18">
        <v>4453</v>
      </c>
      <c r="F74" s="18">
        <f>D65*0.001</f>
        <v>500</v>
      </c>
      <c r="G74" s="18">
        <f>D65*0.0506</f>
        <v>25300</v>
      </c>
      <c r="H74" s="81">
        <f t="shared" si="36"/>
        <v>60753</v>
      </c>
      <c r="I74" s="15">
        <f t="shared" si="37"/>
        <v>35453</v>
      </c>
      <c r="J74" s="15">
        <f t="shared" si="38"/>
        <v>34953</v>
      </c>
      <c r="K74" s="84">
        <v>0.196</v>
      </c>
      <c r="L74" s="5"/>
      <c r="M74" s="35">
        <f t="shared" si="39"/>
        <v>0.121506</v>
      </c>
      <c r="N74" s="33">
        <f t="shared" si="40"/>
        <v>0.0506</v>
      </c>
      <c r="O74" s="33">
        <f t="shared" si="41"/>
        <v>0.001</v>
      </c>
      <c r="P74" s="36">
        <f t="shared" si="42"/>
        <v>0.069906</v>
      </c>
      <c r="Q74" s="26">
        <f t="shared" si="45"/>
        <v>0.416440340394713</v>
      </c>
      <c r="R74" s="27">
        <f t="shared" si="46"/>
        <v>0.00823004625285994</v>
      </c>
      <c r="S74" s="28">
        <f t="shared" si="33"/>
        <v>0.575329613352427</v>
      </c>
      <c r="T74" s="26">
        <f t="shared" si="34"/>
        <v>0.8582954252853833</v>
      </c>
      <c r="U74" s="27">
        <f>D74/J74</f>
        <v>0.014304923754756387</v>
      </c>
      <c r="V74" s="28">
        <f t="shared" si="35"/>
        <v>0.1273996509598604</v>
      </c>
      <c r="W74" s="26">
        <f t="shared" si="43"/>
        <v>0.06</v>
      </c>
      <c r="X74" s="27">
        <f>D74/500000</f>
        <v>0.001</v>
      </c>
      <c r="Y74" s="28">
        <f t="shared" si="44"/>
        <v>0.008906</v>
      </c>
      <c r="Z74" s="27"/>
    </row>
    <row r="75" spans="2:26" ht="15.75">
      <c r="B75" s="12" t="s">
        <v>3</v>
      </c>
      <c r="C75" s="18">
        <f>D65*0.04</f>
        <v>20000</v>
      </c>
      <c r="D75" s="16" t="s">
        <v>43</v>
      </c>
      <c r="E75" s="18">
        <v>2048</v>
      </c>
      <c r="F75" s="18">
        <v>1210</v>
      </c>
      <c r="G75" s="18">
        <v>17500</v>
      </c>
      <c r="H75" s="81">
        <f t="shared" si="36"/>
        <v>40758</v>
      </c>
      <c r="I75" s="15">
        <f t="shared" si="37"/>
        <v>23258</v>
      </c>
      <c r="J75" s="15">
        <f t="shared" si="38"/>
        <v>22048</v>
      </c>
      <c r="K75" s="84">
        <v>0.16</v>
      </c>
      <c r="L75" s="5"/>
      <c r="M75" s="35">
        <f t="shared" si="39"/>
        <v>0.081516</v>
      </c>
      <c r="N75" s="33">
        <f t="shared" si="40"/>
        <v>0.035</v>
      </c>
      <c r="O75" s="33">
        <f t="shared" si="41"/>
        <v>0.00242</v>
      </c>
      <c r="P75" s="36">
        <f t="shared" si="42"/>
        <v>0.044096</v>
      </c>
      <c r="Q75" s="26">
        <f t="shared" si="45"/>
        <v>0.4293635605279945</v>
      </c>
      <c r="R75" s="27">
        <f t="shared" si="46"/>
        <v>0.02968742332793562</v>
      </c>
      <c r="S75" s="28">
        <f t="shared" si="33"/>
        <v>0.5409490161440699</v>
      </c>
      <c r="T75" s="26">
        <f t="shared" si="34"/>
        <v>0.9071117561683599</v>
      </c>
      <c r="U75" s="27"/>
      <c r="V75" s="28">
        <f t="shared" si="35"/>
        <v>0.09288824383164006</v>
      </c>
      <c r="W75" s="26">
        <f t="shared" si="43"/>
        <v>0.04</v>
      </c>
      <c r="X75" s="27"/>
      <c r="Y75" s="28">
        <f t="shared" si="44"/>
        <v>0.004096</v>
      </c>
      <c r="Z75" s="27"/>
    </row>
    <row r="76" spans="2:26" ht="15.75">
      <c r="B76" s="12" t="s">
        <v>15</v>
      </c>
      <c r="C76" s="18">
        <f>D65*0.04</f>
        <v>20000</v>
      </c>
      <c r="D76" s="18">
        <v>500</v>
      </c>
      <c r="E76" s="18">
        <f>D65*(0.012+2*0.005)+200+2*220</f>
        <v>11640</v>
      </c>
      <c r="F76" s="18">
        <v>2390</v>
      </c>
      <c r="G76" s="18">
        <v>56300</v>
      </c>
      <c r="H76" s="81">
        <f t="shared" si="36"/>
        <v>90830</v>
      </c>
      <c r="I76" s="15">
        <f t="shared" si="37"/>
        <v>34530</v>
      </c>
      <c r="J76" s="15">
        <f t="shared" si="38"/>
        <v>32140</v>
      </c>
      <c r="K76" s="84">
        <v>0.19</v>
      </c>
      <c r="L76" s="5"/>
      <c r="M76" s="35">
        <f>H76/500000</f>
        <v>0.18166</v>
      </c>
      <c r="N76" s="33">
        <f>G76/500000</f>
        <v>0.1126</v>
      </c>
      <c r="O76" s="33">
        <f>F76/500000</f>
        <v>0.00478</v>
      </c>
      <c r="P76" s="36">
        <f>J76/500000</f>
        <v>0.06428</v>
      </c>
      <c r="Q76" s="26">
        <f>G76/H76</f>
        <v>0.6198392601563361</v>
      </c>
      <c r="R76" s="27">
        <f>F76/H76</f>
        <v>0.02631289221622812</v>
      </c>
      <c r="S76" s="28">
        <f t="shared" si="33"/>
        <v>0.3538478476274359</v>
      </c>
      <c r="T76" s="26">
        <f t="shared" si="34"/>
        <v>0.6222775357809583</v>
      </c>
      <c r="U76" s="27">
        <f>D76/J76</f>
        <v>0.015556938394523958</v>
      </c>
      <c r="V76" s="28">
        <f t="shared" si="35"/>
        <v>0.3621655258245177</v>
      </c>
      <c r="W76" s="26">
        <f>C76/500000</f>
        <v>0.04</v>
      </c>
      <c r="X76" s="27">
        <f>D76/500000</f>
        <v>0.001</v>
      </c>
      <c r="Y76" s="28">
        <f>E76/500000</f>
        <v>0.02328</v>
      </c>
      <c r="Z76" s="27"/>
    </row>
    <row r="77" spans="2:26" ht="15.75">
      <c r="B77" s="12" t="s">
        <v>19</v>
      </c>
      <c r="C77" s="18">
        <f>0.03*D65</f>
        <v>15000</v>
      </c>
      <c r="D77" s="16" t="s">
        <v>43</v>
      </c>
      <c r="E77" s="18">
        <v>3000</v>
      </c>
      <c r="F77" s="18">
        <v>18</v>
      </c>
      <c r="G77" s="18">
        <v>29420</v>
      </c>
      <c r="H77" s="81">
        <f t="shared" si="36"/>
        <v>47438</v>
      </c>
      <c r="I77" s="15">
        <f t="shared" si="37"/>
        <v>18018</v>
      </c>
      <c r="J77" s="15">
        <f t="shared" si="38"/>
        <v>18000</v>
      </c>
      <c r="K77" s="84">
        <v>0.2</v>
      </c>
      <c r="L77" s="5"/>
      <c r="M77" s="35">
        <f t="shared" si="39"/>
        <v>0.094876</v>
      </c>
      <c r="N77" s="33">
        <f t="shared" si="40"/>
        <v>0.05884</v>
      </c>
      <c r="O77" s="33">
        <f t="shared" si="41"/>
        <v>3.6E-05</v>
      </c>
      <c r="P77" s="36">
        <f t="shared" si="42"/>
        <v>0.036</v>
      </c>
      <c r="Q77" s="26">
        <f t="shared" si="45"/>
        <v>0.6201779164382984</v>
      </c>
      <c r="R77" s="27">
        <f t="shared" si="46"/>
        <v>0.0003794426409207808</v>
      </c>
      <c r="S77" s="28">
        <f t="shared" si="33"/>
        <v>0.3794426409207808</v>
      </c>
      <c r="T77" s="26">
        <f t="shared" si="34"/>
        <v>0.8333333333333334</v>
      </c>
      <c r="U77" s="27"/>
      <c r="V77" s="28">
        <f t="shared" si="35"/>
        <v>0.16666666666666666</v>
      </c>
      <c r="W77" s="26">
        <f>C77/250000</f>
        <v>0.06</v>
      </c>
      <c r="X77" s="27"/>
      <c r="Y77" s="28">
        <f t="shared" si="44"/>
        <v>0.006</v>
      </c>
      <c r="Z77" s="27"/>
    </row>
    <row r="78" spans="2:26" ht="15.75">
      <c r="B78" s="12" t="s">
        <v>4</v>
      </c>
      <c r="C78" s="18">
        <v>6500</v>
      </c>
      <c r="D78" s="18">
        <v>600</v>
      </c>
      <c r="E78" s="18">
        <v>4000</v>
      </c>
      <c r="F78" s="18">
        <v>625</v>
      </c>
      <c r="G78" s="18">
        <v>37500</v>
      </c>
      <c r="H78" s="81">
        <f t="shared" si="36"/>
        <v>49225</v>
      </c>
      <c r="I78" s="15">
        <f t="shared" si="37"/>
        <v>11725</v>
      </c>
      <c r="J78" s="15">
        <f t="shared" si="38"/>
        <v>11100</v>
      </c>
      <c r="K78" s="84">
        <v>0.21</v>
      </c>
      <c r="L78" s="5"/>
      <c r="M78" s="35">
        <f t="shared" si="39"/>
        <v>0.09845</v>
      </c>
      <c r="N78" s="33">
        <f t="shared" si="40"/>
        <v>0.075</v>
      </c>
      <c r="O78" s="33">
        <f t="shared" si="41"/>
        <v>0.00125</v>
      </c>
      <c r="P78" s="36">
        <f t="shared" si="42"/>
        <v>0.0222</v>
      </c>
      <c r="Q78" s="26">
        <f t="shared" si="45"/>
        <v>0.7618080243778568</v>
      </c>
      <c r="R78" s="27">
        <f t="shared" si="46"/>
        <v>0.012696800406297613</v>
      </c>
      <c r="S78" s="28">
        <f t="shared" si="33"/>
        <v>0.2254951752158456</v>
      </c>
      <c r="T78" s="26">
        <f t="shared" si="34"/>
        <v>0.5855855855855856</v>
      </c>
      <c r="U78" s="27">
        <f>D78/J78</f>
        <v>0.05405405405405406</v>
      </c>
      <c r="V78" s="28">
        <f t="shared" si="35"/>
        <v>0.36036036036036034</v>
      </c>
      <c r="W78" s="26">
        <f>C78/500000</f>
        <v>0.013</v>
      </c>
      <c r="X78" s="27">
        <f>D78/500000</f>
        <v>0.0012</v>
      </c>
      <c r="Y78" s="28">
        <f t="shared" si="44"/>
        <v>0.008</v>
      </c>
      <c r="Z78" s="27"/>
    </row>
    <row r="79" spans="2:26" ht="15.75">
      <c r="B79" s="12" t="s">
        <v>5</v>
      </c>
      <c r="C79" s="18">
        <f>0.06*D65</f>
        <v>30000</v>
      </c>
      <c r="D79" s="16" t="s">
        <v>43</v>
      </c>
      <c r="E79" s="18">
        <v>3100</v>
      </c>
      <c r="F79" s="18">
        <v>115</v>
      </c>
      <c r="G79" s="18">
        <f>(D65/2*0.03)+168+230</f>
        <v>7898</v>
      </c>
      <c r="H79" s="81">
        <f t="shared" si="36"/>
        <v>41113</v>
      </c>
      <c r="I79" s="15">
        <f t="shared" si="37"/>
        <v>33215</v>
      </c>
      <c r="J79" s="15">
        <f t="shared" si="38"/>
        <v>33100</v>
      </c>
      <c r="K79" s="84">
        <v>0.2</v>
      </c>
      <c r="L79" s="5"/>
      <c r="M79" s="35">
        <f t="shared" si="39"/>
        <v>0.082226</v>
      </c>
      <c r="N79" s="33">
        <f t="shared" si="40"/>
        <v>0.015796</v>
      </c>
      <c r="O79" s="33">
        <f t="shared" si="41"/>
        <v>0.00023</v>
      </c>
      <c r="P79" s="36">
        <f t="shared" si="42"/>
        <v>0.0662</v>
      </c>
      <c r="Q79" s="26">
        <f t="shared" si="45"/>
        <v>0.1921046870819449</v>
      </c>
      <c r="R79" s="27">
        <f t="shared" si="46"/>
        <v>0.002797168778731788</v>
      </c>
      <c r="S79" s="28">
        <f t="shared" si="33"/>
        <v>0.8050981441393233</v>
      </c>
      <c r="T79" s="26">
        <f t="shared" si="34"/>
        <v>0.9063444108761329</v>
      </c>
      <c r="U79" s="27"/>
      <c r="V79" s="28">
        <f t="shared" si="35"/>
        <v>0.09365558912386707</v>
      </c>
      <c r="W79" s="26">
        <f t="shared" si="43"/>
        <v>0.06</v>
      </c>
      <c r="X79" s="27"/>
      <c r="Y79" s="28">
        <f t="shared" si="44"/>
        <v>0.0062</v>
      </c>
      <c r="Z79" s="27"/>
    </row>
    <row r="80" spans="2:26" ht="15.75">
      <c r="B80" s="12" t="s">
        <v>6</v>
      </c>
      <c r="C80" s="18">
        <v>9250</v>
      </c>
      <c r="D80" s="16" t="s">
        <v>43</v>
      </c>
      <c r="E80" s="18">
        <v>1287</v>
      </c>
      <c r="F80" s="18">
        <f>73+40</f>
        <v>113</v>
      </c>
      <c r="G80" s="18">
        <v>30000</v>
      </c>
      <c r="H80" s="81">
        <f t="shared" si="36"/>
        <v>40650</v>
      </c>
      <c r="I80" s="15">
        <f t="shared" si="37"/>
        <v>10650</v>
      </c>
      <c r="J80" s="15">
        <f t="shared" si="38"/>
        <v>10537</v>
      </c>
      <c r="K80" s="84">
        <v>0.19</v>
      </c>
      <c r="L80" s="5"/>
      <c r="M80" s="35">
        <f>H80/500000</f>
        <v>0.0813</v>
      </c>
      <c r="N80" s="33">
        <f>G80/500000</f>
        <v>0.06</v>
      </c>
      <c r="O80" s="33">
        <f>F80/500000</f>
        <v>0.000226</v>
      </c>
      <c r="P80" s="36">
        <f>J80/500000</f>
        <v>0.021074</v>
      </c>
      <c r="Q80" s="26">
        <f t="shared" si="45"/>
        <v>0.7380073800738007</v>
      </c>
      <c r="R80" s="27">
        <f t="shared" si="46"/>
        <v>0.0027798277982779827</v>
      </c>
      <c r="S80" s="28">
        <f t="shared" si="33"/>
        <v>0.25921279212792125</v>
      </c>
      <c r="T80" s="26">
        <f t="shared" si="34"/>
        <v>0.8778589731422606</v>
      </c>
      <c r="U80" s="27"/>
      <c r="V80" s="28">
        <f t="shared" si="35"/>
        <v>0.1221410268577394</v>
      </c>
      <c r="W80" s="26">
        <f>C80/500000</f>
        <v>0.0185</v>
      </c>
      <c r="X80" s="27"/>
      <c r="Y80" s="28">
        <f>E80/500000</f>
        <v>0.002574</v>
      </c>
      <c r="Z80" s="27"/>
    </row>
    <row r="81" spans="2:26" ht="15.75">
      <c r="B81" s="12" t="s">
        <v>7</v>
      </c>
      <c r="C81" s="18">
        <v>6250</v>
      </c>
      <c r="D81" s="16" t="s">
        <v>43</v>
      </c>
      <c r="E81" s="18">
        <v>2050</v>
      </c>
      <c r="F81" s="18">
        <v>50</v>
      </c>
      <c r="G81" s="18">
        <v>50000</v>
      </c>
      <c r="H81" s="81">
        <f t="shared" si="36"/>
        <v>58350</v>
      </c>
      <c r="I81" s="15">
        <f t="shared" si="37"/>
        <v>8350</v>
      </c>
      <c r="J81" s="15">
        <f t="shared" si="38"/>
        <v>8300</v>
      </c>
      <c r="K81" s="84">
        <v>0.22</v>
      </c>
      <c r="L81" s="5"/>
      <c r="M81" s="35">
        <f t="shared" si="39"/>
        <v>0.1167</v>
      </c>
      <c r="N81" s="33">
        <f t="shared" si="40"/>
        <v>0.1</v>
      </c>
      <c r="O81" s="33">
        <f t="shared" si="41"/>
        <v>0.0001</v>
      </c>
      <c r="P81" s="36">
        <f t="shared" si="42"/>
        <v>0.0166</v>
      </c>
      <c r="Q81" s="26">
        <f aca="true" t="shared" si="47" ref="Q81:Q87">G81/H81</f>
        <v>0.856898029134533</v>
      </c>
      <c r="R81" s="27">
        <f>F81/H81</f>
        <v>0.000856898029134533</v>
      </c>
      <c r="S81" s="28">
        <f aca="true" t="shared" si="48" ref="S81:S87">J81/H81</f>
        <v>0.14224507283633248</v>
      </c>
      <c r="T81" s="26">
        <f aca="true" t="shared" si="49" ref="T81:T87">C81/J81</f>
        <v>0.7530120481927711</v>
      </c>
      <c r="U81" s="27"/>
      <c r="V81" s="28">
        <f aca="true" t="shared" si="50" ref="V81:V87">E81/J81</f>
        <v>0.2469879518072289</v>
      </c>
      <c r="W81" s="26">
        <f t="shared" si="43"/>
        <v>0.0125</v>
      </c>
      <c r="X81" s="27"/>
      <c r="Y81" s="28">
        <f t="shared" si="44"/>
        <v>0.0041</v>
      </c>
      <c r="Z81" s="27"/>
    </row>
    <row r="82" spans="2:26" ht="15.75">
      <c r="B82" s="12" t="s">
        <v>189</v>
      </c>
      <c r="C82" s="18">
        <f>37500/2</f>
        <v>18750</v>
      </c>
      <c r="D82" s="16">
        <v>275</v>
      </c>
      <c r="E82" s="18">
        <f>325+195.59</f>
        <v>520.59</v>
      </c>
      <c r="F82" s="18">
        <v>125</v>
      </c>
      <c r="G82" s="18">
        <v>4000</v>
      </c>
      <c r="H82" s="81">
        <f>SUM(C82:G82)</f>
        <v>23670.59</v>
      </c>
      <c r="I82" s="15">
        <f>SUM(C82:F82)</f>
        <v>19670.59</v>
      </c>
      <c r="J82" s="15">
        <f>SUM(C82:E82)</f>
        <v>19545.59</v>
      </c>
      <c r="K82" s="84">
        <v>0.21</v>
      </c>
      <c r="L82" s="5"/>
      <c r="M82" s="35">
        <f>H82/500000</f>
        <v>0.047341180000000004</v>
      </c>
      <c r="N82" s="33">
        <f>G82/500000</f>
        <v>0.008</v>
      </c>
      <c r="O82" s="33">
        <f>F82/500000</f>
        <v>0.00025</v>
      </c>
      <c r="P82" s="36">
        <f>J82/500000</f>
        <v>0.03909118</v>
      </c>
      <c r="Q82" s="26">
        <f t="shared" si="47"/>
        <v>0.16898607090064083</v>
      </c>
      <c r="R82" s="27">
        <f>F82/H82</f>
        <v>0.005280814715645026</v>
      </c>
      <c r="S82" s="28">
        <f t="shared" si="48"/>
        <v>0.8257331143837141</v>
      </c>
      <c r="T82" s="26">
        <f t="shared" si="49"/>
        <v>0.9592956774392587</v>
      </c>
      <c r="U82" s="27">
        <f>D82/J82</f>
        <v>0.014069669935775794</v>
      </c>
      <c r="V82" s="28">
        <f t="shared" si="50"/>
        <v>0.026634652624965532</v>
      </c>
      <c r="W82" s="26">
        <f>C82/500000</f>
        <v>0.0375</v>
      </c>
      <c r="X82" s="27">
        <f>D82/500000</f>
        <v>0.00055</v>
      </c>
      <c r="Y82" s="28"/>
      <c r="Z82" s="27"/>
    </row>
    <row r="83" spans="2:26" ht="15.75">
      <c r="B83" s="19" t="s">
        <v>8</v>
      </c>
      <c r="C83" s="18">
        <v>5000</v>
      </c>
      <c r="D83" s="18">
        <v>741</v>
      </c>
      <c r="E83" s="18">
        <v>2224</v>
      </c>
      <c r="F83" s="18">
        <v>816</v>
      </c>
      <c r="G83" s="18">
        <v>15036</v>
      </c>
      <c r="H83" s="81">
        <f t="shared" si="36"/>
        <v>23817</v>
      </c>
      <c r="I83" s="15">
        <f t="shared" si="37"/>
        <v>8781</v>
      </c>
      <c r="J83" s="15">
        <f t="shared" si="38"/>
        <v>7965</v>
      </c>
      <c r="K83" s="84">
        <v>0.175</v>
      </c>
      <c r="L83" s="5"/>
      <c r="M83" s="35">
        <f t="shared" si="39"/>
        <v>0.047634</v>
      </c>
      <c r="N83" s="33">
        <f t="shared" si="40"/>
        <v>0.030072</v>
      </c>
      <c r="O83" s="33">
        <f t="shared" si="41"/>
        <v>0.001632</v>
      </c>
      <c r="P83" s="36">
        <f t="shared" si="42"/>
        <v>0.01593</v>
      </c>
      <c r="Q83" s="26">
        <f t="shared" si="47"/>
        <v>0.6313137674770122</v>
      </c>
      <c r="R83" s="27">
        <f>F83/H83</f>
        <v>0.034261241970021415</v>
      </c>
      <c r="S83" s="28">
        <f t="shared" si="48"/>
        <v>0.3344249905529664</v>
      </c>
      <c r="T83" s="26">
        <f t="shared" si="49"/>
        <v>0.6277463904582549</v>
      </c>
      <c r="U83" s="27">
        <f>D83/J83</f>
        <v>0.09303201506591337</v>
      </c>
      <c r="V83" s="28">
        <f t="shared" si="50"/>
        <v>0.2792215944758318</v>
      </c>
      <c r="W83" s="26">
        <f t="shared" si="43"/>
        <v>0.01</v>
      </c>
      <c r="X83" s="27">
        <f>D83/500000</f>
        <v>0.001482</v>
      </c>
      <c r="Y83" s="28">
        <f t="shared" si="44"/>
        <v>0.004448</v>
      </c>
      <c r="Z83" s="27"/>
    </row>
    <row r="84" spans="2:26" ht="15.75">
      <c r="B84" s="19" t="s">
        <v>188</v>
      </c>
      <c r="C84" s="18">
        <v>2150</v>
      </c>
      <c r="D84" s="18">
        <v>300</v>
      </c>
      <c r="E84" s="18">
        <v>420</v>
      </c>
      <c r="F84" s="18">
        <v>60</v>
      </c>
      <c r="G84" s="18">
        <v>0</v>
      </c>
      <c r="H84" s="81">
        <f>SUM(C84:G84)</f>
        <v>2930</v>
      </c>
      <c r="I84" s="15">
        <f>SUM(C84:F84)</f>
        <v>2930</v>
      </c>
      <c r="J84" s="15">
        <f>SUM(C84:E84)</f>
        <v>2870</v>
      </c>
      <c r="K84" s="84">
        <v>0.19</v>
      </c>
      <c r="L84" s="5"/>
      <c r="M84" s="35">
        <f>H84/500000</f>
        <v>0.00586</v>
      </c>
      <c r="N84" s="33">
        <f>G84/500000</f>
        <v>0</v>
      </c>
      <c r="O84" s="33">
        <f>F84/500000</f>
        <v>0.00012</v>
      </c>
      <c r="P84" s="36">
        <f>J84/500000</f>
        <v>0.00574</v>
      </c>
      <c r="Q84" s="26">
        <f t="shared" si="47"/>
        <v>0</v>
      </c>
      <c r="R84" s="27">
        <f>F84/H84</f>
        <v>0.020477815699658702</v>
      </c>
      <c r="S84" s="28">
        <f t="shared" si="48"/>
        <v>0.9795221843003413</v>
      </c>
      <c r="T84" s="26">
        <f t="shared" si="49"/>
        <v>0.7491289198606271</v>
      </c>
      <c r="U84" s="27">
        <f>D84/J84</f>
        <v>0.10452961672473868</v>
      </c>
      <c r="V84" s="28">
        <f t="shared" si="50"/>
        <v>0.14634146341463414</v>
      </c>
      <c r="W84" s="26">
        <f>C84/500000</f>
        <v>0.0043</v>
      </c>
      <c r="X84" s="27">
        <f>D84/500000</f>
        <v>0.0006</v>
      </c>
      <c r="Y84" s="28">
        <f>E84/500000</f>
        <v>0.00084</v>
      </c>
      <c r="Z84" s="27"/>
    </row>
    <row r="85" spans="2:26" ht="15.75">
      <c r="B85" s="12" t="s">
        <v>16</v>
      </c>
      <c r="C85" s="18">
        <f>0.04*D65</f>
        <v>20000</v>
      </c>
      <c r="D85" s="16" t="s">
        <v>43</v>
      </c>
      <c r="E85" s="18">
        <f>967.5</f>
        <v>967.5</v>
      </c>
      <c r="F85" s="18">
        <v>88</v>
      </c>
      <c r="G85" s="18">
        <f>0.02*D65</f>
        <v>10000</v>
      </c>
      <c r="H85" s="81">
        <f t="shared" si="36"/>
        <v>31055.5</v>
      </c>
      <c r="I85" s="15">
        <f t="shared" si="37"/>
        <v>21055.5</v>
      </c>
      <c r="J85" s="15">
        <f t="shared" si="38"/>
        <v>20967.5</v>
      </c>
      <c r="K85" s="84">
        <v>0.19</v>
      </c>
      <c r="L85" s="5"/>
      <c r="M85" s="35">
        <f t="shared" si="39"/>
        <v>0.062111</v>
      </c>
      <c r="N85" s="33">
        <f t="shared" si="40"/>
        <v>0.02</v>
      </c>
      <c r="O85" s="33">
        <f t="shared" si="41"/>
        <v>0.000176</v>
      </c>
      <c r="P85" s="36">
        <f t="shared" si="42"/>
        <v>0.041935</v>
      </c>
      <c r="Q85" s="26">
        <f t="shared" si="47"/>
        <v>0.3220041538535847</v>
      </c>
      <c r="R85" s="27">
        <f>F85/H85</f>
        <v>0.0028336365539115456</v>
      </c>
      <c r="S85" s="28">
        <f t="shared" si="48"/>
        <v>0.6751622095925037</v>
      </c>
      <c r="T85" s="26">
        <f t="shared" si="49"/>
        <v>0.9538571598903064</v>
      </c>
      <c r="U85" s="27"/>
      <c r="V85" s="28">
        <f t="shared" si="50"/>
        <v>0.04614284010969357</v>
      </c>
      <c r="W85" s="26">
        <f t="shared" si="43"/>
        <v>0.04</v>
      </c>
      <c r="X85" s="27"/>
      <c r="Y85" s="28">
        <f t="shared" si="44"/>
        <v>0.001935</v>
      </c>
      <c r="Z85" s="27"/>
    </row>
    <row r="86" spans="2:26" ht="15.75">
      <c r="B86" s="12" t="s">
        <v>9</v>
      </c>
      <c r="C86" s="18">
        <f>D65*0.06</f>
        <v>30000</v>
      </c>
      <c r="D86" s="16" t="s">
        <v>43</v>
      </c>
      <c r="E86" s="18">
        <f>433+330</f>
        <v>763</v>
      </c>
      <c r="F86" s="18">
        <v>233</v>
      </c>
      <c r="G86" s="18">
        <f>D65*0.07</f>
        <v>35000</v>
      </c>
      <c r="H86" s="81">
        <f t="shared" si="36"/>
        <v>65996</v>
      </c>
      <c r="I86" s="15">
        <f t="shared" si="37"/>
        <v>30996</v>
      </c>
      <c r="J86" s="15">
        <f t="shared" si="38"/>
        <v>30763</v>
      </c>
      <c r="K86" s="84">
        <v>0.16</v>
      </c>
      <c r="L86" s="5"/>
      <c r="M86" s="35">
        <f t="shared" si="39"/>
        <v>0.131992</v>
      </c>
      <c r="N86" s="33">
        <f t="shared" si="40"/>
        <v>0.07</v>
      </c>
      <c r="O86" s="33"/>
      <c r="P86" s="36">
        <f t="shared" si="42"/>
        <v>0.061526</v>
      </c>
      <c r="Q86" s="26">
        <f t="shared" si="47"/>
        <v>0.5303351718285957</v>
      </c>
      <c r="R86" s="27"/>
      <c r="S86" s="28">
        <f t="shared" si="48"/>
        <v>0.46613431117037396</v>
      </c>
      <c r="T86" s="26">
        <f t="shared" si="49"/>
        <v>0.9751974774891916</v>
      </c>
      <c r="U86" s="27"/>
      <c r="V86" s="28">
        <f t="shared" si="50"/>
        <v>0.024802522510808438</v>
      </c>
      <c r="W86" s="26">
        <f t="shared" si="43"/>
        <v>0.06</v>
      </c>
      <c r="X86" s="27"/>
      <c r="Y86" s="28">
        <f t="shared" si="44"/>
        <v>0.001526</v>
      </c>
      <c r="Z86" s="27"/>
    </row>
    <row r="87" spans="2:26" ht="15.75">
      <c r="B87" s="20" t="s">
        <v>10</v>
      </c>
      <c r="C87" s="21">
        <v>12800</v>
      </c>
      <c r="D87" s="21">
        <v>400</v>
      </c>
      <c r="E87" s="21">
        <v>0</v>
      </c>
      <c r="F87" s="21">
        <v>90</v>
      </c>
      <c r="G87" s="21">
        <v>7500</v>
      </c>
      <c r="H87" s="82">
        <f t="shared" si="36"/>
        <v>20790</v>
      </c>
      <c r="I87" s="22">
        <f t="shared" si="37"/>
        <v>13290</v>
      </c>
      <c r="J87" s="22">
        <f t="shared" si="38"/>
        <v>13200</v>
      </c>
      <c r="K87" s="85">
        <v>0.25</v>
      </c>
      <c r="L87" s="5"/>
      <c r="M87" s="35">
        <f t="shared" si="39"/>
        <v>0.04158</v>
      </c>
      <c r="N87" s="33">
        <f t="shared" si="40"/>
        <v>0.015</v>
      </c>
      <c r="O87" s="33">
        <f t="shared" si="41"/>
        <v>0.00018</v>
      </c>
      <c r="P87" s="36">
        <f t="shared" si="42"/>
        <v>0.0264</v>
      </c>
      <c r="Q87" s="26">
        <f t="shared" si="47"/>
        <v>0.36075036075036077</v>
      </c>
      <c r="R87" s="27">
        <f>F87/H87</f>
        <v>0.004329004329004329</v>
      </c>
      <c r="S87" s="28">
        <f t="shared" si="48"/>
        <v>0.6349206349206349</v>
      </c>
      <c r="T87" s="26">
        <f t="shared" si="49"/>
        <v>0.9696969696969697</v>
      </c>
      <c r="U87" s="27">
        <f>D87/J87</f>
        <v>0.030303030303030304</v>
      </c>
      <c r="V87" s="28">
        <f t="shared" si="50"/>
        <v>0</v>
      </c>
      <c r="W87" s="44">
        <f t="shared" si="43"/>
        <v>0.0256</v>
      </c>
      <c r="X87" s="27">
        <f>D87/500000</f>
        <v>0.0008</v>
      </c>
      <c r="Y87" s="45">
        <f t="shared" si="44"/>
        <v>0</v>
      </c>
      <c r="Z87" s="55"/>
    </row>
    <row r="88" spans="2:26" ht="15.75">
      <c r="B88" s="42" t="s">
        <v>27</v>
      </c>
      <c r="C88" s="70">
        <f>(SUM(C68:C87))/D89</f>
        <v>16103.65</v>
      </c>
      <c r="D88" s="70">
        <f>(SUM(D68:D87))/I89</f>
        <v>555.5454545454545</v>
      </c>
      <c r="E88" s="70">
        <f>(SUM(E68:E87))/D89</f>
        <v>2245.2545</v>
      </c>
      <c r="F88" s="70">
        <f>(SUM(F68:F87))/D89</f>
        <v>834.1</v>
      </c>
      <c r="G88" s="70">
        <f>(SUM(G68:G87))/D89</f>
        <v>21776.45</v>
      </c>
      <c r="H88" s="82">
        <f>(SUM(H68:H87))/D89</f>
        <v>41265.004499999995</v>
      </c>
      <c r="I88" s="70">
        <f>(SUM(I68:I87))/D89</f>
        <v>19488.554500000002</v>
      </c>
      <c r="J88" s="70">
        <f>(SUM(J68:J87))/D89</f>
        <v>18654.4545</v>
      </c>
      <c r="K88" s="41"/>
      <c r="L88" s="29" t="s">
        <v>27</v>
      </c>
      <c r="M88" s="52">
        <f>(SUM(M68:M87))/D89</f>
        <v>0.08253000899999999</v>
      </c>
      <c r="N88" s="53">
        <f>(SUM(N68:N87))/D89</f>
        <v>0.04355290000000001</v>
      </c>
      <c r="O88" s="53">
        <f>(SUM(O68:O87))/D89</f>
        <v>0.0016449000000000006</v>
      </c>
      <c r="P88" s="53">
        <f>(SUM(P68:P87))/D89</f>
        <v>0.03730890899999999</v>
      </c>
      <c r="Q88" s="52">
        <f>(SUM(Q68:Q87))/D89</f>
        <v>0.44400850078765497</v>
      </c>
      <c r="R88" s="53">
        <f>(SUM(R68:R87))/D89</f>
        <v>0.02235305750925113</v>
      </c>
      <c r="S88" s="53">
        <f>(SUM(S68:S87))/D89</f>
        <v>0.5334619158530423</v>
      </c>
      <c r="T88" s="52">
        <f>(SUM(T68:T87))/D89</f>
        <v>0.8443020790235936</v>
      </c>
      <c r="U88" s="53">
        <f>(SUM(U68:U87))/D89</f>
        <v>0.026666414446109336</v>
      </c>
      <c r="V88" s="53">
        <f>(SUM(V68:V87))/D89</f>
        <v>0.1290315065302971</v>
      </c>
      <c r="W88" s="52">
        <f>(SUM(W68:W87))/D89</f>
        <v>0.0337073</v>
      </c>
      <c r="X88" s="53">
        <f>(SUM(X68:X87))/I89</f>
        <v>0.001111090909090909</v>
      </c>
      <c r="Y88" s="54">
        <f>(SUM(Y68:Y87))/D89</f>
        <v>0.004438449999999999</v>
      </c>
      <c r="Z88" s="32"/>
    </row>
    <row r="89" spans="2:26" ht="15.75">
      <c r="B89" s="64"/>
      <c r="C89" s="65" t="s">
        <v>44</v>
      </c>
      <c r="D89" s="66">
        <v>20</v>
      </c>
      <c r="E89" s="67"/>
      <c r="F89" s="65"/>
      <c r="G89" s="65"/>
      <c r="H89" s="65" t="s">
        <v>52</v>
      </c>
      <c r="I89" s="66">
        <v>11</v>
      </c>
      <c r="J89" s="68"/>
      <c r="K89" s="41"/>
      <c r="L89" s="3"/>
      <c r="M89" s="3"/>
      <c r="N89" s="3"/>
      <c r="O89" s="3"/>
      <c r="P89" s="3"/>
      <c r="T89" s="50" t="s">
        <v>120</v>
      </c>
      <c r="U89" s="31">
        <f>(SUM(U68:U87))/I89</f>
        <v>0.04848438990201698</v>
      </c>
      <c r="W89" s="47"/>
      <c r="X89" s="46"/>
      <c r="Y89" s="47"/>
      <c r="Z89" s="49"/>
    </row>
    <row r="90" spans="21:26" ht="12.75">
      <c r="U90" s="25"/>
      <c r="V90" s="51"/>
      <c r="W90" s="48"/>
      <c r="Y90" s="48"/>
      <c r="Z90" s="48"/>
    </row>
    <row r="91" spans="21:26" ht="12.75">
      <c r="U91" s="25"/>
      <c r="W91" s="49"/>
      <c r="X91" s="32"/>
      <c r="Y91" s="49"/>
      <c r="Z91" s="49"/>
    </row>
    <row r="94" spans="1:26" ht="12.75">
      <c r="A94" s="7"/>
      <c r="B94" s="8"/>
      <c r="C94" s="8"/>
      <c r="D94" s="86" t="s">
        <v>56</v>
      </c>
      <c r="E94" s="10" t="s">
        <v>119</v>
      </c>
      <c r="F94" s="8"/>
      <c r="G94" s="8"/>
      <c r="H94" s="8"/>
      <c r="I94" s="8"/>
      <c r="J94" s="8"/>
      <c r="K94" s="11"/>
      <c r="M94" s="34"/>
      <c r="N94" s="40" t="s">
        <v>28</v>
      </c>
      <c r="O94" s="30"/>
      <c r="P94" s="11"/>
      <c r="Q94" s="7"/>
      <c r="R94" s="30" t="s">
        <v>21</v>
      </c>
      <c r="S94" s="11"/>
      <c r="T94" s="7"/>
      <c r="U94" s="30" t="s">
        <v>24</v>
      </c>
      <c r="V94" s="11"/>
      <c r="W94" s="7"/>
      <c r="X94" s="30" t="s">
        <v>39</v>
      </c>
      <c r="Y94" s="11"/>
      <c r="Z94" s="2"/>
    </row>
    <row r="95" spans="1:26" ht="12.75">
      <c r="A95" s="12"/>
      <c r="C95" s="2"/>
      <c r="D95" s="2"/>
      <c r="E95" s="2"/>
      <c r="F95" s="2"/>
      <c r="G95" s="2"/>
      <c r="H95" s="2"/>
      <c r="I95" s="2"/>
      <c r="J95" s="2"/>
      <c r="K95" s="13"/>
      <c r="M95" s="37"/>
      <c r="N95" s="38" t="s">
        <v>56</v>
      </c>
      <c r="O95" s="38"/>
      <c r="P95" s="39"/>
      <c r="Q95" s="12"/>
      <c r="R95" s="38" t="s">
        <v>56</v>
      </c>
      <c r="S95" s="13"/>
      <c r="T95" s="12"/>
      <c r="U95" s="38" t="s">
        <v>56</v>
      </c>
      <c r="V95" s="13"/>
      <c r="W95" s="12"/>
      <c r="X95" s="38" t="s">
        <v>56</v>
      </c>
      <c r="Y95" s="13"/>
      <c r="Z95" s="2"/>
    </row>
    <row r="96" spans="1:26" ht="12.75">
      <c r="A96" s="56" t="s">
        <v>11</v>
      </c>
      <c r="B96" s="56" t="s">
        <v>58</v>
      </c>
      <c r="C96" s="58" t="s">
        <v>40</v>
      </c>
      <c r="D96" s="58" t="s">
        <v>32</v>
      </c>
      <c r="E96" s="58" t="s">
        <v>46</v>
      </c>
      <c r="F96" s="58" t="s">
        <v>33</v>
      </c>
      <c r="G96" s="58" t="s">
        <v>17</v>
      </c>
      <c r="H96" s="58" t="s">
        <v>34</v>
      </c>
      <c r="I96" s="58" t="s">
        <v>36</v>
      </c>
      <c r="J96" s="58" t="s">
        <v>42</v>
      </c>
      <c r="K96" s="59" t="s">
        <v>18</v>
      </c>
      <c r="L96" s="23"/>
      <c r="M96" s="57" t="s">
        <v>37</v>
      </c>
      <c r="N96" s="58" t="s">
        <v>22</v>
      </c>
      <c r="O96" s="58" t="s">
        <v>23</v>
      </c>
      <c r="P96" s="60" t="s">
        <v>38</v>
      </c>
      <c r="Q96" s="61" t="s">
        <v>22</v>
      </c>
      <c r="R96" s="62" t="s">
        <v>23</v>
      </c>
      <c r="S96" s="60" t="s">
        <v>38</v>
      </c>
      <c r="T96" s="61" t="s">
        <v>25</v>
      </c>
      <c r="U96" s="62" t="s">
        <v>26</v>
      </c>
      <c r="V96" s="60" t="s">
        <v>47</v>
      </c>
      <c r="W96" s="61" t="s">
        <v>25</v>
      </c>
      <c r="X96" s="62" t="s">
        <v>26</v>
      </c>
      <c r="Y96" s="60" t="s">
        <v>47</v>
      </c>
      <c r="Z96" s="24"/>
    </row>
    <row r="97" spans="1:26" ht="12.75">
      <c r="A97" s="14" t="s">
        <v>12</v>
      </c>
      <c r="B97" s="90">
        <v>150000</v>
      </c>
      <c r="C97" s="15">
        <f>B97*0.06</f>
        <v>9000</v>
      </c>
      <c r="D97" s="16" t="s">
        <v>43</v>
      </c>
      <c r="E97" s="15">
        <f>((E34-E7)*(B97-100000)/150000)+E7</f>
        <v>1566.6666666666667</v>
      </c>
      <c r="F97" s="15">
        <f>B97*0.01</f>
        <v>1500</v>
      </c>
      <c r="G97" s="15">
        <f>B97*0.035</f>
        <v>5250.000000000001</v>
      </c>
      <c r="H97" s="80">
        <f aca="true" t="shared" si="51" ref="H97:H116">SUM(C97:G97)</f>
        <v>17316.666666666668</v>
      </c>
      <c r="I97" s="15">
        <f>SUM(C97:F97)</f>
        <v>12066.666666666666</v>
      </c>
      <c r="J97" s="15">
        <f>SUM(C97:E97)</f>
        <v>10566.666666666666</v>
      </c>
      <c r="K97" s="83">
        <v>0.2</v>
      </c>
      <c r="L97" s="4"/>
      <c r="M97" s="35">
        <f aca="true" t="shared" si="52" ref="M97:M116">H97/B97</f>
        <v>0.11544444444444445</v>
      </c>
      <c r="N97" s="33">
        <f aca="true" t="shared" si="53" ref="N97:N116">G97/B97</f>
        <v>0.035</v>
      </c>
      <c r="O97" s="33">
        <f aca="true" t="shared" si="54" ref="O97:O116">F97/B97</f>
        <v>0.01</v>
      </c>
      <c r="P97" s="36">
        <f aca="true" t="shared" si="55" ref="P97:P116">J97/B97</f>
        <v>0.07044444444444443</v>
      </c>
      <c r="Q97" s="26">
        <f aca="true" t="shared" si="56" ref="Q97:Q109">G97/H97</f>
        <v>0.3031761308950915</v>
      </c>
      <c r="R97" s="27">
        <f aca="true" t="shared" si="57" ref="R97:R109">F97/H97</f>
        <v>0.08662175168431183</v>
      </c>
      <c r="S97" s="28">
        <f aca="true" t="shared" si="58" ref="S97:S109">J97/H97</f>
        <v>0.6102021174205966</v>
      </c>
      <c r="T97" s="26">
        <f aca="true" t="shared" si="59" ref="T97:T109">C97/J97</f>
        <v>0.8517350157728707</v>
      </c>
      <c r="U97" s="27"/>
      <c r="V97" s="28">
        <f aca="true" t="shared" si="60" ref="V97:V109">E97/J97</f>
        <v>0.14826498422712936</v>
      </c>
      <c r="W97" s="26">
        <f aca="true" t="shared" si="61" ref="W97:W116">C97/B97</f>
        <v>0.06</v>
      </c>
      <c r="X97" s="27"/>
      <c r="Y97" s="28">
        <f aca="true" t="shared" si="62" ref="Y97:Y116">E97/B97</f>
        <v>0.010444444444444445</v>
      </c>
      <c r="Z97" s="27"/>
    </row>
    <row r="98" spans="1:26" ht="15.75">
      <c r="A98" s="14" t="s">
        <v>13</v>
      </c>
      <c r="B98" s="133">
        <v>167000</v>
      </c>
      <c r="C98" s="15">
        <f>B98*0.03</f>
        <v>5010</v>
      </c>
      <c r="D98" s="16" t="s">
        <v>43</v>
      </c>
      <c r="E98" s="15">
        <f>((E35-E8)*(B98-100000)/150000)+E8</f>
        <v>1975.4533333333334</v>
      </c>
      <c r="F98" s="15">
        <f>((F35-F8)*(B98-100000)/150000)+F8</f>
        <v>551.1</v>
      </c>
      <c r="G98" s="15">
        <f>B98*(0.115+0.011)</f>
        <v>21042</v>
      </c>
      <c r="H98" s="81">
        <f t="shared" si="51"/>
        <v>28578.553333333333</v>
      </c>
      <c r="I98" s="15">
        <f aca="true" t="shared" si="63" ref="I98:I105">SUM(C98:F98)</f>
        <v>7536.553333333333</v>
      </c>
      <c r="J98" s="15">
        <f aca="true" t="shared" si="64" ref="J98:J105">SUM(C98:E98)</f>
        <v>6985.453333333333</v>
      </c>
      <c r="K98" s="84">
        <v>0.21</v>
      </c>
      <c r="L98" s="5"/>
      <c r="M98" s="35">
        <f t="shared" si="52"/>
        <v>0.17112906187624752</v>
      </c>
      <c r="N98" s="33">
        <f t="shared" si="53"/>
        <v>0.126</v>
      </c>
      <c r="O98" s="33">
        <f t="shared" si="54"/>
        <v>0.0033</v>
      </c>
      <c r="P98" s="36">
        <f t="shared" si="55"/>
        <v>0.041829061876247506</v>
      </c>
      <c r="Q98" s="26">
        <f t="shared" si="56"/>
        <v>0.7362863947160376</v>
      </c>
      <c r="R98" s="27">
        <f t="shared" si="57"/>
        <v>0.01928369129018194</v>
      </c>
      <c r="S98" s="28">
        <f t="shared" si="58"/>
        <v>0.2444299139937804</v>
      </c>
      <c r="T98" s="26">
        <f t="shared" si="59"/>
        <v>0.7172047053973114</v>
      </c>
      <c r="U98" s="27"/>
      <c r="V98" s="28">
        <f t="shared" si="60"/>
        <v>0.28279529460268865</v>
      </c>
      <c r="W98" s="26">
        <f t="shared" si="61"/>
        <v>0.03</v>
      </c>
      <c r="X98" s="27"/>
      <c r="Y98" s="28">
        <f t="shared" si="62"/>
        <v>0.011829061876247505</v>
      </c>
      <c r="Z98" s="27"/>
    </row>
    <row r="99" spans="1:26" ht="15.75">
      <c r="A99" s="14" t="s">
        <v>151</v>
      </c>
      <c r="B99" s="90">
        <v>100000</v>
      </c>
      <c r="C99" s="15">
        <f>B99*0.05</f>
        <v>5000</v>
      </c>
      <c r="D99" s="16">
        <v>350</v>
      </c>
      <c r="E99" s="15">
        <f>((E36-E9)*(B99-100000)/150000)+E9</f>
        <v>500</v>
      </c>
      <c r="F99" s="15">
        <v>17</v>
      </c>
      <c r="G99" s="15">
        <f>((G36-G9)*(B99-100000)/150000)+G9</f>
        <v>0</v>
      </c>
      <c r="H99" s="81">
        <f t="shared" si="51"/>
        <v>5867</v>
      </c>
      <c r="I99" s="15">
        <f t="shared" si="63"/>
        <v>5867</v>
      </c>
      <c r="J99" s="15">
        <f t="shared" si="64"/>
        <v>5850</v>
      </c>
      <c r="K99" s="84">
        <v>0.19</v>
      </c>
      <c r="L99" s="5"/>
      <c r="M99" s="35">
        <f t="shared" si="52"/>
        <v>0.05867</v>
      </c>
      <c r="N99" s="33">
        <f t="shared" si="53"/>
        <v>0</v>
      </c>
      <c r="O99" s="33">
        <f t="shared" si="54"/>
        <v>0.00017</v>
      </c>
      <c r="P99" s="36">
        <f t="shared" si="55"/>
        <v>0.0585</v>
      </c>
      <c r="Q99" s="26">
        <f t="shared" si="56"/>
        <v>0</v>
      </c>
      <c r="R99" s="27">
        <f t="shared" si="57"/>
        <v>0.0028975626384864497</v>
      </c>
      <c r="S99" s="28">
        <f t="shared" si="58"/>
        <v>0.9971024373615136</v>
      </c>
      <c r="T99" s="26">
        <f t="shared" si="59"/>
        <v>0.8547008547008547</v>
      </c>
      <c r="U99" s="27">
        <f>D99/J99</f>
        <v>0.05982905982905983</v>
      </c>
      <c r="V99" s="28">
        <f t="shared" si="60"/>
        <v>0.08547008547008547</v>
      </c>
      <c r="W99" s="26">
        <f t="shared" si="61"/>
        <v>0.05</v>
      </c>
      <c r="X99" s="27">
        <f>D99/B99</f>
        <v>0.0035</v>
      </c>
      <c r="Y99" s="28">
        <f t="shared" si="62"/>
        <v>0.005</v>
      </c>
      <c r="Z99" s="27"/>
    </row>
    <row r="100" spans="1:26" ht="15.75">
      <c r="A100" s="12" t="s">
        <v>14</v>
      </c>
      <c r="B100" s="89">
        <f>(219260+224225)/2</f>
        <v>221742.5</v>
      </c>
      <c r="C100" s="15">
        <f>((C37-C10)*(B100-100000)/150000)+C10</f>
        <v>7068.82</v>
      </c>
      <c r="D100" s="18">
        <v>1020</v>
      </c>
      <c r="E100" s="15">
        <f>((E37-E10)*(B100-100000)/150000)+E10</f>
        <v>1013</v>
      </c>
      <c r="F100" s="15">
        <f>((F37-F10)*(B100-100000)/150000)+F10</f>
        <v>1517.455</v>
      </c>
      <c r="G100" s="15">
        <f>((G37-G10)*(B100-100000)/150000)+G10</f>
        <v>0</v>
      </c>
      <c r="H100" s="81">
        <f t="shared" si="51"/>
        <v>10619.275</v>
      </c>
      <c r="I100" s="15">
        <f t="shared" si="63"/>
        <v>10619.275</v>
      </c>
      <c r="J100" s="15">
        <f t="shared" si="64"/>
        <v>9101.82</v>
      </c>
      <c r="K100" s="84">
        <v>0.25</v>
      </c>
      <c r="L100" s="5"/>
      <c r="M100" s="35">
        <f t="shared" si="52"/>
        <v>0.04789012029719156</v>
      </c>
      <c r="N100" s="33">
        <f t="shared" si="53"/>
        <v>0</v>
      </c>
      <c r="O100" s="33">
        <f t="shared" si="54"/>
        <v>0.0068433205181685965</v>
      </c>
      <c r="P100" s="36">
        <f t="shared" si="55"/>
        <v>0.041046799779022966</v>
      </c>
      <c r="Q100" s="26">
        <f t="shared" si="56"/>
        <v>0</v>
      </c>
      <c r="R100" s="27">
        <f t="shared" si="57"/>
        <v>0.14289629000096524</v>
      </c>
      <c r="S100" s="28">
        <f t="shared" si="58"/>
        <v>0.8571037099990347</v>
      </c>
      <c r="T100" s="44">
        <f t="shared" si="59"/>
        <v>0.7766380789776111</v>
      </c>
      <c r="U100" s="27">
        <f>D100/J100</f>
        <v>0.11206549898811446</v>
      </c>
      <c r="V100" s="45">
        <f t="shared" si="60"/>
        <v>0.11129642203427446</v>
      </c>
      <c r="W100" s="44">
        <f t="shared" si="61"/>
        <v>0.031878507728559026</v>
      </c>
      <c r="X100" s="27">
        <f>D100/B100</f>
        <v>0.004599930099101435</v>
      </c>
      <c r="Y100" s="45">
        <f t="shared" si="62"/>
        <v>0.0045683619513625035</v>
      </c>
      <c r="Z100" s="55"/>
    </row>
    <row r="101" spans="1:26" ht="15.75">
      <c r="A101" s="12" t="s">
        <v>0</v>
      </c>
      <c r="B101" s="89">
        <v>297750</v>
      </c>
      <c r="C101" s="15">
        <f>((C72-C38)*(B101-250000)/250000)+C38</f>
        <v>4232.602</v>
      </c>
      <c r="D101" s="15">
        <f>((D72-D38)*(B101-250000)/250000)+D38</f>
        <v>553.65</v>
      </c>
      <c r="E101" s="15">
        <f>((E72-E38)*(B101-250000)/250000)+E38</f>
        <v>1204.38</v>
      </c>
      <c r="F101" s="15">
        <f>((F72-F38)*(B101-250000)/250000)+F38</f>
        <v>245.055</v>
      </c>
      <c r="G101" s="15">
        <f>((G72-G38)*(B101-250000)/250000)+G38</f>
        <v>4918.005</v>
      </c>
      <c r="H101" s="81">
        <f t="shared" si="51"/>
        <v>11153.692</v>
      </c>
      <c r="I101" s="15">
        <f t="shared" si="63"/>
        <v>6235.687</v>
      </c>
      <c r="J101" s="15">
        <f t="shared" si="64"/>
        <v>5990.632</v>
      </c>
      <c r="K101" s="84">
        <v>0.175</v>
      </c>
      <c r="L101" s="5"/>
      <c r="M101" s="35">
        <f t="shared" si="52"/>
        <v>0.03745992275398824</v>
      </c>
      <c r="N101" s="33">
        <f t="shared" si="53"/>
        <v>0.016517229219143576</v>
      </c>
      <c r="O101" s="33">
        <f t="shared" si="54"/>
        <v>0.0008230226700251889</v>
      </c>
      <c r="P101" s="36">
        <f t="shared" si="55"/>
        <v>0.02011967086481948</v>
      </c>
      <c r="Q101" s="26">
        <f t="shared" si="56"/>
        <v>0.4409306801729867</v>
      </c>
      <c r="R101" s="27">
        <f t="shared" si="57"/>
        <v>0.02197075192680594</v>
      </c>
      <c r="S101" s="28">
        <f t="shared" si="58"/>
        <v>0.5370985679002074</v>
      </c>
      <c r="T101" s="26">
        <f t="shared" si="59"/>
        <v>0.7065368061333095</v>
      </c>
      <c r="U101" s="27">
        <f>D101/J101</f>
        <v>0.0924192973295639</v>
      </c>
      <c r="V101" s="28">
        <f t="shared" si="60"/>
        <v>0.20104389653712668</v>
      </c>
      <c r="W101" s="26">
        <f t="shared" si="61"/>
        <v>0.014215287993282954</v>
      </c>
      <c r="X101" s="27">
        <f>D101/B101</f>
        <v>0.0018594458438287154</v>
      </c>
      <c r="Y101" s="28">
        <f t="shared" si="62"/>
        <v>0.004044937027707809</v>
      </c>
      <c r="Z101" s="27"/>
    </row>
    <row r="102" spans="1:26" ht="15.75">
      <c r="A102" s="12" t="s">
        <v>1</v>
      </c>
      <c r="B102" s="89">
        <f>(149452+98060)/2</f>
        <v>123756</v>
      </c>
      <c r="C102" s="18">
        <f>B102*0.03125</f>
        <v>3867.375</v>
      </c>
      <c r="D102" s="18">
        <v>600</v>
      </c>
      <c r="E102" s="15">
        <f>((E39-E12)*(B102-100000)/150000)+E12</f>
        <v>77</v>
      </c>
      <c r="F102" s="18">
        <v>65</v>
      </c>
      <c r="G102" s="18">
        <f>B102*0.04</f>
        <v>4950.24</v>
      </c>
      <c r="H102" s="81">
        <f t="shared" si="51"/>
        <v>9559.615</v>
      </c>
      <c r="I102" s="15">
        <f t="shared" si="63"/>
        <v>4609.375</v>
      </c>
      <c r="J102" s="15">
        <f t="shared" si="64"/>
        <v>4544.375</v>
      </c>
      <c r="K102" s="84"/>
      <c r="L102" s="5"/>
      <c r="M102" s="35">
        <f t="shared" si="52"/>
        <v>0.07724566889686156</v>
      </c>
      <c r="N102" s="33">
        <f t="shared" si="53"/>
        <v>0.04</v>
      </c>
      <c r="O102" s="33">
        <f t="shared" si="54"/>
        <v>0.0005252270596981157</v>
      </c>
      <c r="P102" s="36">
        <f t="shared" si="55"/>
        <v>0.03672044183716345</v>
      </c>
      <c r="Q102" s="26">
        <f t="shared" si="56"/>
        <v>0.5178283853481547</v>
      </c>
      <c r="R102" s="27">
        <f t="shared" si="57"/>
        <v>0.006799437006615852</v>
      </c>
      <c r="S102" s="28">
        <f t="shared" si="58"/>
        <v>0.47537217764522943</v>
      </c>
      <c r="T102" s="44">
        <f t="shared" si="59"/>
        <v>0.8510246183468574</v>
      </c>
      <c r="U102" s="27">
        <f>D102/J102</f>
        <v>0.13203135744739375</v>
      </c>
      <c r="V102" s="45">
        <f t="shared" si="60"/>
        <v>0.016944024205748864</v>
      </c>
      <c r="W102" s="44">
        <f t="shared" si="61"/>
        <v>0.03125</v>
      </c>
      <c r="X102" s="27">
        <f>D102/B102</f>
        <v>0.0048482497818287595</v>
      </c>
      <c r="Y102" s="45">
        <f t="shared" si="62"/>
        <v>0.0006221920553346909</v>
      </c>
      <c r="Z102" s="55"/>
    </row>
    <row r="103" spans="1:26" ht="15.75">
      <c r="A103" s="12" t="s">
        <v>2</v>
      </c>
      <c r="B103" s="95">
        <f>(137830+154800)/2*(209.3/129+176.6/119.7)/2</f>
        <v>226629.91335412173</v>
      </c>
      <c r="C103" s="15">
        <f>((C40-C13)*(B103-100000)/150000)+C13</f>
        <v>16019.894512427709</v>
      </c>
      <c r="D103" s="16">
        <v>500</v>
      </c>
      <c r="E103" s="15">
        <f>((E40-E13)*(B103-100000)/150000)+E13</f>
        <v>2198.118884882685</v>
      </c>
      <c r="F103" s="18">
        <f>B103*0.001</f>
        <v>226.62991335412173</v>
      </c>
      <c r="G103" s="18">
        <f>B103*0.0506</f>
        <v>11467.47361571856</v>
      </c>
      <c r="H103" s="81">
        <f t="shared" si="51"/>
        <v>30412.116926383074</v>
      </c>
      <c r="I103" s="15">
        <f t="shared" si="63"/>
        <v>18944.643310664516</v>
      </c>
      <c r="J103" s="15">
        <f t="shared" si="64"/>
        <v>18718.013397310395</v>
      </c>
      <c r="K103" s="84">
        <v>0.196</v>
      </c>
      <c r="L103" s="5"/>
      <c r="M103" s="35">
        <f t="shared" si="52"/>
        <v>0.13419286305273595</v>
      </c>
      <c r="N103" s="33">
        <f t="shared" si="53"/>
        <v>0.0506</v>
      </c>
      <c r="O103" s="33">
        <f t="shared" si="54"/>
        <v>0.001</v>
      </c>
      <c r="P103" s="36">
        <f t="shared" si="55"/>
        <v>0.08259286305273597</v>
      </c>
      <c r="Q103" s="26">
        <f t="shared" si="56"/>
        <v>0.3770692334071067</v>
      </c>
      <c r="R103" s="27">
        <f t="shared" si="57"/>
        <v>0.0074519611345278</v>
      </c>
      <c r="S103" s="28">
        <f t="shared" si="58"/>
        <v>0.6154788054583655</v>
      </c>
      <c r="T103" s="26">
        <f t="shared" si="59"/>
        <v>0.8558544206795802</v>
      </c>
      <c r="U103" s="27">
        <f>D103/J103</f>
        <v>0.026712236463718172</v>
      </c>
      <c r="V103" s="28">
        <f t="shared" si="60"/>
        <v>0.11743334285670158</v>
      </c>
      <c r="W103" s="26">
        <f t="shared" si="61"/>
        <v>0.07068746696026725</v>
      </c>
      <c r="X103" s="27">
        <f>D103/B103</f>
        <v>0.002206240088080175</v>
      </c>
      <c r="Y103" s="28">
        <f t="shared" si="62"/>
        <v>0.009699156004388544</v>
      </c>
      <c r="Z103" s="27"/>
    </row>
    <row r="104" spans="1:26" ht="15.75">
      <c r="A104" s="12" t="s">
        <v>3</v>
      </c>
      <c r="B104" s="89">
        <f>((173700+99400)*0.75/2)+((124200+103400)*0.25/2)</f>
        <v>130862.5</v>
      </c>
      <c r="C104" s="18">
        <f>B104*0.04</f>
        <v>5234.5</v>
      </c>
      <c r="D104" s="16" t="s">
        <v>43</v>
      </c>
      <c r="E104" s="15">
        <f>((E41-E14)*(B104-100000)/150000)+E14</f>
        <v>693.6315</v>
      </c>
      <c r="F104" s="15">
        <f>((F41-F14)*(B104-100000)/150000)+F14</f>
        <v>379.5435</v>
      </c>
      <c r="G104" s="18">
        <f>B104*0.035</f>
        <v>4580.1875</v>
      </c>
      <c r="H104" s="81">
        <f t="shared" si="51"/>
        <v>10887.8625</v>
      </c>
      <c r="I104" s="15">
        <f t="shared" si="63"/>
        <v>6307.674999999999</v>
      </c>
      <c r="J104" s="15">
        <f t="shared" si="64"/>
        <v>5928.1314999999995</v>
      </c>
      <c r="K104" s="84">
        <v>0.16</v>
      </c>
      <c r="L104" s="5"/>
      <c r="M104" s="35">
        <f t="shared" si="52"/>
        <v>0.08320078326487725</v>
      </c>
      <c r="N104" s="33">
        <f t="shared" si="53"/>
        <v>0.035</v>
      </c>
      <c r="O104" s="33">
        <f t="shared" si="54"/>
        <v>0.002900322857961601</v>
      </c>
      <c r="P104" s="36">
        <f t="shared" si="55"/>
        <v>0.045300460406915655</v>
      </c>
      <c r="Q104" s="26">
        <f t="shared" si="56"/>
        <v>0.4206691166424999</v>
      </c>
      <c r="R104" s="27">
        <f t="shared" si="57"/>
        <v>0.034859321561050205</v>
      </c>
      <c r="S104" s="28">
        <f t="shared" si="58"/>
        <v>0.54447156179645</v>
      </c>
      <c r="T104" s="26">
        <f t="shared" si="59"/>
        <v>0.8829932331966658</v>
      </c>
      <c r="U104" s="27"/>
      <c r="V104" s="28">
        <f t="shared" si="60"/>
        <v>0.11700676680333424</v>
      </c>
      <c r="W104" s="26">
        <f t="shared" si="61"/>
        <v>0.04</v>
      </c>
      <c r="X104" s="27"/>
      <c r="Y104" s="28">
        <f t="shared" si="62"/>
        <v>0.005300460406915656</v>
      </c>
      <c r="Z104" s="27"/>
    </row>
    <row r="105" spans="1:26" ht="15.75">
      <c r="A105" s="12" t="s">
        <v>15</v>
      </c>
      <c r="B105" s="90">
        <v>130000</v>
      </c>
      <c r="C105" s="18">
        <f>B105*0.04</f>
        <v>5200</v>
      </c>
      <c r="D105" s="18">
        <v>500</v>
      </c>
      <c r="E105" s="18">
        <f>B105*(0.012+2*0.005)+200+2*220</f>
        <v>3500</v>
      </c>
      <c r="F105" s="18">
        <f>B105*0.00475</f>
        <v>617.5</v>
      </c>
      <c r="G105" s="18">
        <f>(B105*0.11)+(B105*0.11)*0.03</f>
        <v>14729</v>
      </c>
      <c r="H105" s="81">
        <f t="shared" si="51"/>
        <v>24546.5</v>
      </c>
      <c r="I105" s="15">
        <f t="shared" si="63"/>
        <v>9817.5</v>
      </c>
      <c r="J105" s="15">
        <f t="shared" si="64"/>
        <v>9200</v>
      </c>
      <c r="K105" s="84">
        <v>0.19</v>
      </c>
      <c r="L105" s="5"/>
      <c r="M105" s="35">
        <f t="shared" si="52"/>
        <v>0.18881923076923077</v>
      </c>
      <c r="N105" s="33">
        <f t="shared" si="53"/>
        <v>0.1133</v>
      </c>
      <c r="O105" s="33">
        <f t="shared" si="54"/>
        <v>0.00475</v>
      </c>
      <c r="P105" s="36">
        <f t="shared" si="55"/>
        <v>0.07076923076923076</v>
      </c>
      <c r="Q105" s="26">
        <f t="shared" si="56"/>
        <v>0.600044812906117</v>
      </c>
      <c r="R105" s="27">
        <f t="shared" si="57"/>
        <v>0.025156335933839855</v>
      </c>
      <c r="S105" s="28">
        <f t="shared" si="58"/>
        <v>0.3747988511600432</v>
      </c>
      <c r="T105" s="26">
        <f t="shared" si="59"/>
        <v>0.5652173913043478</v>
      </c>
      <c r="U105" s="27">
        <f>D105/J105</f>
        <v>0.05434782608695652</v>
      </c>
      <c r="V105" s="28">
        <f t="shared" si="60"/>
        <v>0.3804347826086957</v>
      </c>
      <c r="W105" s="26">
        <f t="shared" si="61"/>
        <v>0.04</v>
      </c>
      <c r="X105" s="27">
        <f>D105/B105</f>
        <v>0.0038461538461538464</v>
      </c>
      <c r="Y105" s="28">
        <f t="shared" si="62"/>
        <v>0.026923076923076925</v>
      </c>
      <c r="Z105" s="27"/>
    </row>
    <row r="106" spans="1:26" ht="15.75">
      <c r="A106" s="12" t="s">
        <v>19</v>
      </c>
      <c r="B106" s="90">
        <v>100000</v>
      </c>
      <c r="C106" s="18">
        <f>B106*0.065</f>
        <v>6500</v>
      </c>
      <c r="D106" s="16" t="s">
        <v>43</v>
      </c>
      <c r="E106" s="15">
        <f>((E43-E16)*(B106-100000)/150000)+E16</f>
        <v>1000</v>
      </c>
      <c r="F106" s="18">
        <v>18</v>
      </c>
      <c r="G106" s="15">
        <f>((G43-G16)*(B106-100000)/150000)+G16</f>
        <v>5420</v>
      </c>
      <c r="H106" s="81">
        <f t="shared" si="51"/>
        <v>12938</v>
      </c>
      <c r="I106" s="15">
        <f>SUM(C106:F106)</f>
        <v>7518</v>
      </c>
      <c r="J106" s="15">
        <f>SUM(C106:E106)</f>
        <v>7500</v>
      </c>
      <c r="K106" s="84">
        <v>0.2</v>
      </c>
      <c r="L106" s="5"/>
      <c r="M106" s="35">
        <f t="shared" si="52"/>
        <v>0.12938</v>
      </c>
      <c r="N106" s="33">
        <f t="shared" si="53"/>
        <v>0.0542</v>
      </c>
      <c r="O106" s="33">
        <f t="shared" si="54"/>
        <v>0.00018</v>
      </c>
      <c r="P106" s="36">
        <f t="shared" si="55"/>
        <v>0.075</v>
      </c>
      <c r="Q106" s="26">
        <f t="shared" si="56"/>
        <v>0.4189210078837533</v>
      </c>
      <c r="R106" s="27">
        <f t="shared" si="57"/>
        <v>0.0013912505796877415</v>
      </c>
      <c r="S106" s="28">
        <f t="shared" si="58"/>
        <v>0.579687741536559</v>
      </c>
      <c r="T106" s="26">
        <f t="shared" si="59"/>
        <v>0.8666666666666667</v>
      </c>
      <c r="U106" s="27"/>
      <c r="V106" s="28">
        <f t="shared" si="60"/>
        <v>0.13333333333333333</v>
      </c>
      <c r="W106" s="26">
        <f t="shared" si="61"/>
        <v>0.065</v>
      </c>
      <c r="X106" s="27"/>
      <c r="Y106" s="28">
        <f t="shared" si="62"/>
        <v>0.01</v>
      </c>
      <c r="Z106" s="27"/>
    </row>
    <row r="107" spans="1:26" ht="15.75">
      <c r="A107" s="12" t="s">
        <v>4</v>
      </c>
      <c r="B107" s="89">
        <f>(276221+330399)/2</f>
        <v>303310</v>
      </c>
      <c r="C107" s="15">
        <f>((C78-C44)*(B107-250000)/250000)+C44</f>
        <v>2959.58</v>
      </c>
      <c r="D107" s="15">
        <f>((D78-D44)*(B107-250000)/250000)+D44</f>
        <v>521.324</v>
      </c>
      <c r="E107" s="15">
        <f>((E78-E44)*(B107-250000)/250000)+E44</f>
        <v>2426.48</v>
      </c>
      <c r="F107" s="15">
        <f>((F78-F44)*(B107-250000)/250000)+F44</f>
        <v>428.31</v>
      </c>
      <c r="G107" s="15">
        <f>((G78-G44)*(B107-250000)/250000)+G44</f>
        <v>15864.1</v>
      </c>
      <c r="H107" s="81">
        <f t="shared" si="51"/>
        <v>22199.794</v>
      </c>
      <c r="I107" s="15">
        <f aca="true" t="shared" si="65" ref="I107:I116">SUM(C107:F107)</f>
        <v>6335.694</v>
      </c>
      <c r="J107" s="15">
        <f aca="true" t="shared" si="66" ref="J107:J116">SUM(C107:E107)</f>
        <v>5907.384</v>
      </c>
      <c r="K107" s="84">
        <v>0.21</v>
      </c>
      <c r="L107" s="5"/>
      <c r="M107" s="35">
        <f t="shared" si="52"/>
        <v>0.07319176420164189</v>
      </c>
      <c r="N107" s="33">
        <f t="shared" si="53"/>
        <v>0.05230325409646896</v>
      </c>
      <c r="O107" s="33">
        <f t="shared" si="54"/>
        <v>0.0014121196135966504</v>
      </c>
      <c r="P107" s="36">
        <f t="shared" si="55"/>
        <v>0.019476390491576276</v>
      </c>
      <c r="Q107" s="26">
        <f t="shared" si="56"/>
        <v>0.7146057301252434</v>
      </c>
      <c r="R107" s="27">
        <f t="shared" si="57"/>
        <v>0.01929342227229676</v>
      </c>
      <c r="S107" s="28">
        <f t="shared" si="58"/>
        <v>0.2661008476024597</v>
      </c>
      <c r="T107" s="26">
        <f t="shared" si="59"/>
        <v>0.500996718682923</v>
      </c>
      <c r="U107" s="27">
        <f>D107/J107</f>
        <v>0.08824955344023683</v>
      </c>
      <c r="V107" s="28">
        <f t="shared" si="60"/>
        <v>0.4107537278768402</v>
      </c>
      <c r="W107" s="26">
        <f t="shared" si="61"/>
        <v>0.009757607728066994</v>
      </c>
      <c r="X107" s="27">
        <f>D107/B107</f>
        <v>0.0017187827635092808</v>
      </c>
      <c r="Y107" s="28">
        <f t="shared" si="62"/>
        <v>0.008</v>
      </c>
      <c r="Z107" s="27"/>
    </row>
    <row r="108" spans="1:26" ht="15.75">
      <c r="A108" s="12" t="s">
        <v>5</v>
      </c>
      <c r="B108" s="89">
        <v>129532</v>
      </c>
      <c r="C108" s="18">
        <f>B108*0.06</f>
        <v>7771.92</v>
      </c>
      <c r="D108" s="16" t="s">
        <v>43</v>
      </c>
      <c r="E108" s="15">
        <f aca="true" t="shared" si="67" ref="E108:E115">((E45-E18)*(B108-100000)/150000)+E18</f>
        <v>1588.596</v>
      </c>
      <c r="F108" s="18">
        <f>90+24.71</f>
        <v>114.71000000000001</v>
      </c>
      <c r="G108" s="18">
        <f>(B108/2*0.03)+168+230</f>
        <v>2340.98</v>
      </c>
      <c r="H108" s="81">
        <f t="shared" si="51"/>
        <v>11816.205999999998</v>
      </c>
      <c r="I108" s="15">
        <f t="shared" si="65"/>
        <v>9475.225999999999</v>
      </c>
      <c r="J108" s="15">
        <f t="shared" si="66"/>
        <v>9360.516</v>
      </c>
      <c r="K108" s="84">
        <v>0.2</v>
      </c>
      <c r="L108" s="5"/>
      <c r="M108" s="35">
        <f t="shared" si="52"/>
        <v>0.09122229256091158</v>
      </c>
      <c r="N108" s="33">
        <f t="shared" si="53"/>
        <v>0.018072599820893678</v>
      </c>
      <c r="O108" s="33">
        <f t="shared" si="54"/>
        <v>0.0008855726770218942</v>
      </c>
      <c r="P108" s="36">
        <f t="shared" si="55"/>
        <v>0.07226412006299601</v>
      </c>
      <c r="Q108" s="26">
        <f t="shared" si="56"/>
        <v>0.19811604503171326</v>
      </c>
      <c r="R108" s="27">
        <f t="shared" si="57"/>
        <v>0.009707853773030026</v>
      </c>
      <c r="S108" s="28">
        <f t="shared" si="58"/>
        <v>0.7921761011952568</v>
      </c>
      <c r="T108" s="26">
        <f t="shared" si="59"/>
        <v>0.8302875610703513</v>
      </c>
      <c r="U108" s="27"/>
      <c r="V108" s="28">
        <f t="shared" si="60"/>
        <v>0.16971243892964877</v>
      </c>
      <c r="W108" s="26">
        <f t="shared" si="61"/>
        <v>0.06</v>
      </c>
      <c r="X108" s="27"/>
      <c r="Y108" s="28">
        <f t="shared" si="62"/>
        <v>0.012264120062996016</v>
      </c>
      <c r="Z108" s="27"/>
    </row>
    <row r="109" spans="1:26" ht="15.75">
      <c r="A109" s="12" t="s">
        <v>6</v>
      </c>
      <c r="B109" s="133">
        <v>202000</v>
      </c>
      <c r="C109" s="15">
        <f>((C46-C19)*(B109-100000)/150000)+C19</f>
        <v>3737</v>
      </c>
      <c r="D109" s="16" t="s">
        <v>43</v>
      </c>
      <c r="E109" s="15">
        <f t="shared" si="67"/>
        <v>682.76</v>
      </c>
      <c r="F109" s="18">
        <f>73+40</f>
        <v>113</v>
      </c>
      <c r="G109" s="18">
        <f>B109*0.06</f>
        <v>12120</v>
      </c>
      <c r="H109" s="81">
        <f t="shared" si="51"/>
        <v>16652.760000000002</v>
      </c>
      <c r="I109" s="15">
        <f t="shared" si="65"/>
        <v>4532.76</v>
      </c>
      <c r="J109" s="15">
        <f t="shared" si="66"/>
        <v>4419.76</v>
      </c>
      <c r="K109" s="84">
        <v>0.19</v>
      </c>
      <c r="L109" s="5"/>
      <c r="M109" s="35">
        <f t="shared" si="52"/>
        <v>0.08243940594059407</v>
      </c>
      <c r="N109" s="33">
        <f t="shared" si="53"/>
        <v>0.06</v>
      </c>
      <c r="O109" s="33">
        <f t="shared" si="54"/>
        <v>0.0005594059405940594</v>
      </c>
      <c r="P109" s="36">
        <f t="shared" si="55"/>
        <v>0.02188</v>
      </c>
      <c r="Q109" s="26">
        <f t="shared" si="56"/>
        <v>0.7278072823964314</v>
      </c>
      <c r="R109" s="27">
        <f t="shared" si="57"/>
        <v>0.006785661956336366</v>
      </c>
      <c r="S109" s="28">
        <f t="shared" si="58"/>
        <v>0.26540705564723205</v>
      </c>
      <c r="T109" s="26">
        <f t="shared" si="59"/>
        <v>0.8455210237659962</v>
      </c>
      <c r="U109" s="27"/>
      <c r="V109" s="28">
        <f t="shared" si="60"/>
        <v>0.15447897623400364</v>
      </c>
      <c r="W109" s="26">
        <f t="shared" si="61"/>
        <v>0.0185</v>
      </c>
      <c r="X109" s="27"/>
      <c r="Y109" s="28">
        <f t="shared" si="62"/>
        <v>0.0033799999999999998</v>
      </c>
      <c r="Z109" s="27"/>
    </row>
    <row r="110" spans="1:26" ht="15.75">
      <c r="A110" s="12" t="s">
        <v>7</v>
      </c>
      <c r="B110" s="90">
        <v>100000</v>
      </c>
      <c r="C110" s="15">
        <f>((C47-C20)*(B110-100000)/150000)+C20</f>
        <v>2000</v>
      </c>
      <c r="D110" s="16" t="s">
        <v>43</v>
      </c>
      <c r="E110" s="15">
        <f t="shared" si="67"/>
        <v>677</v>
      </c>
      <c r="F110" s="18">
        <v>50</v>
      </c>
      <c r="G110" s="18">
        <f>B110*0.12</f>
        <v>12000</v>
      </c>
      <c r="H110" s="81">
        <f t="shared" si="51"/>
        <v>14727</v>
      </c>
      <c r="I110" s="15">
        <f t="shared" si="65"/>
        <v>2727</v>
      </c>
      <c r="J110" s="15">
        <f t="shared" si="66"/>
        <v>2677</v>
      </c>
      <c r="K110" s="84">
        <v>0.22</v>
      </c>
      <c r="L110" s="5"/>
      <c r="M110" s="35">
        <f t="shared" si="52"/>
        <v>0.14727</v>
      </c>
      <c r="N110" s="33">
        <f t="shared" si="53"/>
        <v>0.12</v>
      </c>
      <c r="O110" s="33">
        <f t="shared" si="54"/>
        <v>0.0005</v>
      </c>
      <c r="P110" s="36">
        <f t="shared" si="55"/>
        <v>0.02677</v>
      </c>
      <c r="Q110" s="26">
        <f aca="true" t="shared" si="68" ref="Q110:Q116">G110/H110</f>
        <v>0.8148299042574862</v>
      </c>
      <c r="R110" s="27">
        <f aca="true" t="shared" si="69" ref="R110:R116">F110/H110</f>
        <v>0.0033951246010728593</v>
      </c>
      <c r="S110" s="28">
        <f aca="true" t="shared" si="70" ref="S110:S116">J110/H110</f>
        <v>0.1817749711414409</v>
      </c>
      <c r="T110" s="26">
        <f aca="true" t="shared" si="71" ref="T110:T116">C110/J110</f>
        <v>0.7471049682480388</v>
      </c>
      <c r="U110" s="27"/>
      <c r="V110" s="28">
        <f aca="true" t="shared" si="72" ref="V110:V116">E110/J110</f>
        <v>0.25289503175196115</v>
      </c>
      <c r="W110" s="26">
        <f t="shared" si="61"/>
        <v>0.02</v>
      </c>
      <c r="X110" s="27"/>
      <c r="Y110" s="28">
        <f t="shared" si="62"/>
        <v>0.00677</v>
      </c>
      <c r="Z110" s="27"/>
    </row>
    <row r="111" spans="1:26" ht="15.75">
      <c r="A111" s="12" t="s">
        <v>189</v>
      </c>
      <c r="B111" s="90">
        <v>100000</v>
      </c>
      <c r="C111" s="15">
        <f>((C48-C21)*(B111-100000)/150000)+C21</f>
        <v>3750</v>
      </c>
      <c r="D111" s="15">
        <f>((D48-D21)*(B111-100000)/150000)+D21</f>
        <v>275</v>
      </c>
      <c r="E111" s="15">
        <f t="shared" si="67"/>
        <v>449.5</v>
      </c>
      <c r="F111" s="15">
        <f>((F48-F21)*(B111-100000)/150000)+F21</f>
        <v>125</v>
      </c>
      <c r="G111" s="15">
        <f>((G48-G21)*(B111-100000)/150000)+G21</f>
        <v>800</v>
      </c>
      <c r="H111" s="81">
        <f>SUM(C111:G111)</f>
        <v>5399.5</v>
      </c>
      <c r="I111" s="15">
        <f>SUM(C111:F111)</f>
        <v>4599.5</v>
      </c>
      <c r="J111" s="15">
        <f>SUM(C111:E111)</f>
        <v>4474.5</v>
      </c>
      <c r="K111" s="84">
        <v>0.21</v>
      </c>
      <c r="L111" s="5"/>
      <c r="M111" s="35">
        <f>H111/B111</f>
        <v>0.053995</v>
      </c>
      <c r="N111" s="33">
        <f>G111/B111</f>
        <v>0.008</v>
      </c>
      <c r="O111" s="33">
        <f>F111/B111</f>
        <v>0.00125</v>
      </c>
      <c r="P111" s="36">
        <f>J111/B111</f>
        <v>0.044745</v>
      </c>
      <c r="Q111" s="26">
        <f t="shared" si="68"/>
        <v>0.14816186683952218</v>
      </c>
      <c r="R111" s="27">
        <f t="shared" si="69"/>
        <v>0.02315029169367534</v>
      </c>
      <c r="S111" s="28">
        <f t="shared" si="70"/>
        <v>0.8286878414668025</v>
      </c>
      <c r="T111" s="26">
        <f t="shared" si="71"/>
        <v>0.8380824673147838</v>
      </c>
      <c r="U111" s="27">
        <f>D111/J111</f>
        <v>0.06145938093641748</v>
      </c>
      <c r="V111" s="28">
        <f t="shared" si="72"/>
        <v>0.10045815174879875</v>
      </c>
      <c r="W111" s="26">
        <f>C111/B111</f>
        <v>0.0375</v>
      </c>
      <c r="X111" s="27">
        <f>D111/B111</f>
        <v>0.00275</v>
      </c>
      <c r="Y111" s="28">
        <f>E111/B111</f>
        <v>0.004495</v>
      </c>
      <c r="Z111" s="27"/>
    </row>
    <row r="112" spans="1:26" ht="15.75">
      <c r="A112" s="19" t="s">
        <v>8</v>
      </c>
      <c r="B112" s="89">
        <v>193860</v>
      </c>
      <c r="C112" s="15">
        <f>B112*0.01</f>
        <v>1938.6000000000001</v>
      </c>
      <c r="D112" s="15">
        <f>((D49-D22)*(B112-100000)/150000)+D22</f>
        <v>516.9128000000001</v>
      </c>
      <c r="E112" s="15">
        <f t="shared" si="67"/>
        <v>1520.2170666666666</v>
      </c>
      <c r="F112" s="15">
        <f>((F49-F22)*(B112-100000)/150000)+F22</f>
        <v>431.98906666666664</v>
      </c>
      <c r="G112" s="18">
        <f>B112*0.01</f>
        <v>1938.6000000000001</v>
      </c>
      <c r="H112" s="81">
        <f t="shared" si="51"/>
        <v>6346.318933333334</v>
      </c>
      <c r="I112" s="15">
        <f t="shared" si="65"/>
        <v>4407.718933333334</v>
      </c>
      <c r="J112" s="15">
        <f t="shared" si="66"/>
        <v>3975.729866666667</v>
      </c>
      <c r="K112" s="84">
        <v>0.175</v>
      </c>
      <c r="L112" s="5"/>
      <c r="M112" s="35">
        <f t="shared" si="52"/>
        <v>0.0327366085491248</v>
      </c>
      <c r="N112" s="33">
        <f t="shared" si="53"/>
        <v>0.01</v>
      </c>
      <c r="O112" s="33">
        <f t="shared" si="54"/>
        <v>0.002228355858179442</v>
      </c>
      <c r="P112" s="36">
        <f t="shared" si="55"/>
        <v>0.020508252690945358</v>
      </c>
      <c r="Q112" s="26">
        <f t="shared" si="68"/>
        <v>0.305468417261181</v>
      </c>
      <c r="R112" s="27">
        <f t="shared" si="69"/>
        <v>0.06806923370927549</v>
      </c>
      <c r="S112" s="28">
        <f t="shared" si="70"/>
        <v>0.6264623490295435</v>
      </c>
      <c r="T112" s="26">
        <f t="shared" si="71"/>
        <v>0.4876085813207832</v>
      </c>
      <c r="U112" s="27">
        <f>D112/J112</f>
        <v>0.13001708298491374</v>
      </c>
      <c r="V112" s="28">
        <f t="shared" si="72"/>
        <v>0.382374335694303</v>
      </c>
      <c r="W112" s="26">
        <f t="shared" si="61"/>
        <v>0.01</v>
      </c>
      <c r="X112" s="27">
        <f>D112/B112</f>
        <v>0.002666423191994223</v>
      </c>
      <c r="Y112" s="28">
        <f t="shared" si="62"/>
        <v>0.007841829498951132</v>
      </c>
      <c r="Z112" s="27"/>
    </row>
    <row r="113" spans="1:26" ht="15.75">
      <c r="A113" s="19" t="s">
        <v>188</v>
      </c>
      <c r="B113" s="90">
        <v>100000</v>
      </c>
      <c r="C113" s="15">
        <f>((C50-C23)*(B113-100000)/150000)+C23</f>
        <v>2150</v>
      </c>
      <c r="D113" s="18">
        <v>1020</v>
      </c>
      <c r="E113" s="15">
        <f t="shared" si="67"/>
        <v>420</v>
      </c>
      <c r="F113" s="15">
        <f>((F50-F23)*(B113-100000)/150000)+F23</f>
        <v>60</v>
      </c>
      <c r="G113" s="15">
        <f>((G50-G23)*(B113-100000)/150000)+G23</f>
        <v>0</v>
      </c>
      <c r="H113" s="81">
        <f>SUM(C113:G113)</f>
        <v>3650</v>
      </c>
      <c r="I113" s="15">
        <f>SUM(C113:F113)</f>
        <v>3650</v>
      </c>
      <c r="J113" s="15">
        <f>SUM(C113:E113)</f>
        <v>3590</v>
      </c>
      <c r="K113" s="84">
        <v>0.19</v>
      </c>
      <c r="L113" s="5"/>
      <c r="M113" s="35">
        <f t="shared" si="52"/>
        <v>0.0365</v>
      </c>
      <c r="N113" s="33">
        <f t="shared" si="53"/>
        <v>0</v>
      </c>
      <c r="O113" s="33">
        <f t="shared" si="54"/>
        <v>0.0006</v>
      </c>
      <c r="P113" s="36">
        <f t="shared" si="55"/>
        <v>0.0359</v>
      </c>
      <c r="Q113" s="26">
        <f t="shared" si="68"/>
        <v>0</v>
      </c>
      <c r="R113" s="27">
        <f t="shared" si="69"/>
        <v>0.01643835616438356</v>
      </c>
      <c r="S113" s="28">
        <f t="shared" si="70"/>
        <v>0.9835616438356164</v>
      </c>
      <c r="T113" s="26">
        <f t="shared" si="71"/>
        <v>0.5988857938718662</v>
      </c>
      <c r="U113" s="27">
        <f>D113/J113</f>
        <v>0.2841225626740947</v>
      </c>
      <c r="V113" s="28">
        <f t="shared" si="72"/>
        <v>0.116991643454039</v>
      </c>
      <c r="W113" s="26">
        <f t="shared" si="61"/>
        <v>0.0215</v>
      </c>
      <c r="X113" s="27">
        <f>D113/B113</f>
        <v>0.0102</v>
      </c>
      <c r="Y113" s="28">
        <f t="shared" si="62"/>
        <v>0.0042</v>
      </c>
      <c r="Z113" s="27"/>
    </row>
    <row r="114" spans="1:26" ht="15.75">
      <c r="A114" s="12" t="s">
        <v>16</v>
      </c>
      <c r="B114" s="90">
        <v>100000</v>
      </c>
      <c r="C114" s="18">
        <f>B114*0.04</f>
        <v>4000</v>
      </c>
      <c r="D114" s="16" t="s">
        <v>43</v>
      </c>
      <c r="E114" s="15">
        <f t="shared" si="67"/>
        <v>652.5</v>
      </c>
      <c r="F114" s="18">
        <v>88</v>
      </c>
      <c r="G114" s="18">
        <f>B114*0.02</f>
        <v>2000</v>
      </c>
      <c r="H114" s="81">
        <f t="shared" si="51"/>
        <v>6740.5</v>
      </c>
      <c r="I114" s="15">
        <f t="shared" si="65"/>
        <v>4740.5</v>
      </c>
      <c r="J114" s="15">
        <f t="shared" si="66"/>
        <v>4652.5</v>
      </c>
      <c r="K114" s="84">
        <v>0.19</v>
      </c>
      <c r="L114" s="5"/>
      <c r="M114" s="35">
        <f t="shared" si="52"/>
        <v>0.067405</v>
      </c>
      <c r="N114" s="33">
        <f t="shared" si="53"/>
        <v>0.02</v>
      </c>
      <c r="O114" s="33">
        <f t="shared" si="54"/>
        <v>0.00088</v>
      </c>
      <c r="P114" s="36">
        <f t="shared" si="55"/>
        <v>0.046525</v>
      </c>
      <c r="Q114" s="26">
        <f t="shared" si="68"/>
        <v>0.29671389362806916</v>
      </c>
      <c r="R114" s="27">
        <f t="shared" si="69"/>
        <v>0.013055411319635042</v>
      </c>
      <c r="S114" s="28">
        <f t="shared" si="70"/>
        <v>0.6902306950522958</v>
      </c>
      <c r="T114" s="26">
        <f t="shared" si="71"/>
        <v>0.8597528210639441</v>
      </c>
      <c r="U114" s="27"/>
      <c r="V114" s="28">
        <f t="shared" si="72"/>
        <v>0.14024717893605587</v>
      </c>
      <c r="W114" s="26">
        <f t="shared" si="61"/>
        <v>0.04</v>
      </c>
      <c r="X114" s="27"/>
      <c r="Y114" s="28">
        <f t="shared" si="62"/>
        <v>0.006525</v>
      </c>
      <c r="Z114" s="27"/>
    </row>
    <row r="115" spans="1:26" ht="15.75">
      <c r="A115" s="12" t="s">
        <v>9</v>
      </c>
      <c r="B115" s="89">
        <v>172630</v>
      </c>
      <c r="C115" s="18">
        <f>B115*0.06</f>
        <v>10357.8</v>
      </c>
      <c r="D115" s="16" t="s">
        <v>43</v>
      </c>
      <c r="E115" s="15">
        <f t="shared" si="67"/>
        <v>568.0928</v>
      </c>
      <c r="F115" s="15">
        <f>((F52-F25)*(B115-100000)/150000)+F25</f>
        <v>154.1784</v>
      </c>
      <c r="G115" s="18">
        <f>B115*0.07</f>
        <v>12084.1</v>
      </c>
      <c r="H115" s="81">
        <f t="shared" si="51"/>
        <v>23164.1712</v>
      </c>
      <c r="I115" s="15">
        <f t="shared" si="65"/>
        <v>11080.0712</v>
      </c>
      <c r="J115" s="15">
        <f t="shared" si="66"/>
        <v>10925.8928</v>
      </c>
      <c r="K115" s="84">
        <v>0.16</v>
      </c>
      <c r="L115" s="5"/>
      <c r="M115" s="35">
        <f t="shared" si="52"/>
        <v>0.13418392631639925</v>
      </c>
      <c r="N115" s="33">
        <f t="shared" si="53"/>
        <v>0.07</v>
      </c>
      <c r="O115" s="33">
        <f t="shared" si="54"/>
        <v>0.0008931147540983608</v>
      </c>
      <c r="P115" s="36">
        <f t="shared" si="55"/>
        <v>0.06329081156230087</v>
      </c>
      <c r="Q115" s="26">
        <f t="shared" si="68"/>
        <v>0.5216720207973596</v>
      </c>
      <c r="R115" s="27">
        <f t="shared" si="69"/>
        <v>0.006655899693920411</v>
      </c>
      <c r="S115" s="28">
        <f t="shared" si="70"/>
        <v>0.47167207950871987</v>
      </c>
      <c r="T115" s="26">
        <f t="shared" si="71"/>
        <v>0.9480049081206434</v>
      </c>
      <c r="U115" s="27"/>
      <c r="V115" s="28">
        <f t="shared" si="72"/>
        <v>0.05199509187935653</v>
      </c>
      <c r="W115" s="26">
        <f t="shared" si="61"/>
        <v>0.06</v>
      </c>
      <c r="X115" s="27"/>
      <c r="Y115" s="28">
        <f t="shared" si="62"/>
        <v>0.003290811562300875</v>
      </c>
      <c r="Z115" s="27"/>
    </row>
    <row r="116" spans="1:26" ht="15.75">
      <c r="A116" s="20" t="s">
        <v>10</v>
      </c>
      <c r="B116" s="89">
        <f>(180000+115000)/2</f>
        <v>147500</v>
      </c>
      <c r="C116" s="93">
        <f>((C53-C26)*(B116-100000)/150000)+C26</f>
        <v>4930</v>
      </c>
      <c r="D116" s="21">
        <v>400</v>
      </c>
      <c r="E116" s="21">
        <v>0</v>
      </c>
      <c r="F116" s="21">
        <v>90</v>
      </c>
      <c r="G116" s="21">
        <f>B116*0.015</f>
        <v>2212.5</v>
      </c>
      <c r="H116" s="82">
        <f t="shared" si="51"/>
        <v>7632.5</v>
      </c>
      <c r="I116" s="22">
        <f t="shared" si="65"/>
        <v>5420</v>
      </c>
      <c r="J116" s="22">
        <f t="shared" si="66"/>
        <v>5330</v>
      </c>
      <c r="K116" s="85">
        <v>0.25</v>
      </c>
      <c r="L116" s="5"/>
      <c r="M116" s="72">
        <f t="shared" si="52"/>
        <v>0.05174576271186441</v>
      </c>
      <c r="N116" s="33">
        <f t="shared" si="53"/>
        <v>0.015</v>
      </c>
      <c r="O116" s="33">
        <f t="shared" si="54"/>
        <v>0.0006101694915254237</v>
      </c>
      <c r="P116" s="36">
        <f t="shared" si="55"/>
        <v>0.036135593220338984</v>
      </c>
      <c r="Q116" s="26">
        <f t="shared" si="68"/>
        <v>0.28987880773010155</v>
      </c>
      <c r="R116" s="27">
        <f t="shared" si="69"/>
        <v>0.011791680314444808</v>
      </c>
      <c r="S116" s="28">
        <f t="shared" si="70"/>
        <v>0.6983295119554537</v>
      </c>
      <c r="T116" s="44">
        <f t="shared" si="71"/>
        <v>0.924953095684803</v>
      </c>
      <c r="U116" s="27">
        <f>D116/J116</f>
        <v>0.075046904315197</v>
      </c>
      <c r="V116" s="45">
        <f t="shared" si="72"/>
        <v>0</v>
      </c>
      <c r="W116" s="44">
        <f t="shared" si="61"/>
        <v>0.033423728813559324</v>
      </c>
      <c r="X116" s="27">
        <f>D116/B116</f>
        <v>0.002711864406779661</v>
      </c>
      <c r="Y116" s="45">
        <f t="shared" si="62"/>
        <v>0</v>
      </c>
      <c r="Z116" s="55"/>
    </row>
    <row r="117" spans="1:26" ht="15.75">
      <c r="A117" s="42" t="s">
        <v>27</v>
      </c>
      <c r="B117" s="92">
        <f>SUM(B97:B116)/D118</f>
        <v>159828.6456677061</v>
      </c>
      <c r="C117" s="70">
        <f>(SUM(C97:C116))/D118</f>
        <v>5536.404575621385</v>
      </c>
      <c r="D117" s="70">
        <f>(SUM(D97:D116))/D118</f>
        <v>312.84434</v>
      </c>
      <c r="E117" s="70">
        <f>(SUM(E97:E116))/D118</f>
        <v>1135.6698125774676</v>
      </c>
      <c r="F117" s="70">
        <f>(SUM(F97:F116))/D118</f>
        <v>339.6235440010394</v>
      </c>
      <c r="G117" s="70">
        <f>(SUM(G97:G116))/D118</f>
        <v>6685.859305785928</v>
      </c>
      <c r="H117" s="82">
        <f>(SUM(H97:H116))/D118</f>
        <v>14010.40157798582</v>
      </c>
      <c r="I117" s="70">
        <f>(SUM(I97:I116))/D118</f>
        <v>7324.542272199893</v>
      </c>
      <c r="J117" s="70">
        <f>(SUM(J97:J116))/D118</f>
        <v>6984.918728198853</v>
      </c>
      <c r="K117" s="41"/>
      <c r="L117" s="29" t="s">
        <v>27</v>
      </c>
      <c r="M117" s="71">
        <f>(SUM(M97:M116))/D118</f>
        <v>0.09070609278180566</v>
      </c>
      <c r="N117" s="53">
        <f>(SUM(N97:N116))/D118</f>
        <v>0.04219965415682531</v>
      </c>
      <c r="O117" s="53">
        <f>(SUM(O97:O116))/D118</f>
        <v>0.0020155315720434665</v>
      </c>
      <c r="P117" s="53">
        <f>(SUM(P97:P116))/D118</f>
        <v>0.04649090705293689</v>
      </c>
      <c r="Q117" s="52">
        <f>(SUM(Q97:Q116))/D118</f>
        <v>0.3916089865019427</v>
      </c>
      <c r="R117" s="53">
        <f>(SUM(R97:R116))/D118</f>
        <v>0.02638356446272717</v>
      </c>
      <c r="S117" s="53">
        <f>(SUM(S97:S116))/D118</f>
        <v>0.58200744903533</v>
      </c>
      <c r="T117" s="52">
        <f>(SUM(T97:T116))/D118</f>
        <v>0.7754884865160104</v>
      </c>
      <c r="U117" s="53">
        <f>(SUM(U97:U116))/D118</f>
        <v>0.05581503802478331</v>
      </c>
      <c r="V117" s="53">
        <f>(SUM(V97:V116))/D118</f>
        <v>0.16869647545920624</v>
      </c>
      <c r="W117" s="52">
        <f>(SUM(W97:W116))/D118</f>
        <v>0.03718562996118678</v>
      </c>
      <c r="X117" s="53">
        <f>(SUM(X97:X116))/I118</f>
        <v>0.0037188263655705545</v>
      </c>
      <c r="Y117" s="54">
        <f>(SUM(Y97:Y116))/D118</f>
        <v>0.007259922590686305</v>
      </c>
      <c r="Z117" s="32"/>
    </row>
    <row r="118" spans="1:26" ht="15.75">
      <c r="A118" s="64"/>
      <c r="C118" s="65" t="s">
        <v>44</v>
      </c>
      <c r="D118" s="66">
        <v>20</v>
      </c>
      <c r="E118" s="67"/>
      <c r="F118" s="65"/>
      <c r="G118" s="65"/>
      <c r="H118" s="65" t="s">
        <v>52</v>
      </c>
      <c r="I118" s="66">
        <v>11</v>
      </c>
      <c r="J118" s="68"/>
      <c r="K118" s="41"/>
      <c r="L118" s="3"/>
      <c r="M118" s="3"/>
      <c r="N118" s="3"/>
      <c r="O118" s="3"/>
      <c r="P118" s="3"/>
      <c r="T118" s="50" t="s">
        <v>51</v>
      </c>
      <c r="U118" s="31">
        <f>(SUM(U97:U116))/I118</f>
        <v>0.10148188731778784</v>
      </c>
      <c r="W118" s="47"/>
      <c r="X118" s="46"/>
      <c r="Y118" s="47"/>
      <c r="Z118" s="49"/>
    </row>
    <row r="119" spans="2:26" ht="15.75">
      <c r="B119" s="87"/>
      <c r="C119" s="69"/>
      <c r="L119" s="3"/>
      <c r="M119" s="3"/>
      <c r="N119" s="3"/>
      <c r="O119" s="3"/>
      <c r="P119" s="3"/>
      <c r="V119" s="48" t="s">
        <v>61</v>
      </c>
      <c r="W119" s="48"/>
      <c r="Y119" s="48"/>
      <c r="Z119" s="48"/>
    </row>
    <row r="120" spans="1:2" ht="12.75">
      <c r="A120" t="s">
        <v>59</v>
      </c>
      <c r="B120" s="91" t="s">
        <v>60</v>
      </c>
    </row>
    <row r="121" ht="12.75">
      <c r="A121" s="79" t="s">
        <v>109</v>
      </c>
    </row>
    <row r="122" ht="12.75">
      <c r="A122" t="s">
        <v>108</v>
      </c>
    </row>
    <row r="126" ht="12.75">
      <c r="B126" s="6" t="s">
        <v>158</v>
      </c>
    </row>
    <row r="129" spans="1:17" ht="12.75">
      <c r="A129" s="7"/>
      <c r="B129" s="8"/>
      <c r="C129" s="128"/>
      <c r="D129" s="30" t="s">
        <v>106</v>
      </c>
      <c r="E129" s="8"/>
      <c r="F129" s="154" t="s">
        <v>58</v>
      </c>
      <c r="G129" s="97" t="s">
        <v>67</v>
      </c>
      <c r="H129" s="40" t="s">
        <v>68</v>
      </c>
      <c r="I129" s="30" t="s">
        <v>69</v>
      </c>
      <c r="J129" s="30" t="s">
        <v>111</v>
      </c>
      <c r="K129" s="116"/>
      <c r="L129" s="40" t="s">
        <v>110</v>
      </c>
      <c r="M129" s="11"/>
      <c r="N129" s="40"/>
      <c r="O129" s="30" t="s">
        <v>70</v>
      </c>
      <c r="P129" s="30"/>
      <c r="Q129" s="99"/>
    </row>
    <row r="130" spans="1:17" ht="12.75">
      <c r="A130" s="12"/>
      <c r="B130" s="4" t="s">
        <v>105</v>
      </c>
      <c r="C130" s="103">
        <v>100000</v>
      </c>
      <c r="D130" s="100">
        <v>250000</v>
      </c>
      <c r="E130" s="100">
        <v>500000</v>
      </c>
      <c r="F130" s="155" t="s">
        <v>71</v>
      </c>
      <c r="G130" s="101" t="s">
        <v>72</v>
      </c>
      <c r="H130" s="102" t="s">
        <v>73</v>
      </c>
      <c r="I130" s="135" t="s">
        <v>93</v>
      </c>
      <c r="J130" s="135" t="s">
        <v>112</v>
      </c>
      <c r="K130" s="117" t="s">
        <v>94</v>
      </c>
      <c r="L130" s="152" t="s">
        <v>95</v>
      </c>
      <c r="M130" s="39" t="s">
        <v>111</v>
      </c>
      <c r="N130" s="103">
        <v>100000</v>
      </c>
      <c r="O130" s="100">
        <v>250000</v>
      </c>
      <c r="P130" s="100">
        <v>500000</v>
      </c>
      <c r="Q130" s="113" t="s">
        <v>27</v>
      </c>
    </row>
    <row r="131" spans="1:17" ht="12.75">
      <c r="A131" s="56" t="s">
        <v>11</v>
      </c>
      <c r="B131" s="58"/>
      <c r="C131" s="57"/>
      <c r="D131" s="104"/>
      <c r="E131" s="58"/>
      <c r="F131" s="118" t="s">
        <v>74</v>
      </c>
      <c r="G131" s="58"/>
      <c r="H131" s="57">
        <v>2005</v>
      </c>
      <c r="I131" s="58"/>
      <c r="J131" s="140" t="s">
        <v>113</v>
      </c>
      <c r="K131" s="118" t="s">
        <v>73</v>
      </c>
      <c r="L131" s="105" t="s">
        <v>96</v>
      </c>
      <c r="M131" s="140" t="s">
        <v>112</v>
      </c>
      <c r="N131" s="57"/>
      <c r="O131" s="58"/>
      <c r="P131" s="58"/>
      <c r="Q131" s="114" t="s">
        <v>94</v>
      </c>
    </row>
    <row r="132" spans="1:17" ht="12.75">
      <c r="A132" s="12" t="s">
        <v>6</v>
      </c>
      <c r="B132" s="18" t="s">
        <v>62</v>
      </c>
      <c r="C132" s="95">
        <f>E19</f>
        <v>661</v>
      </c>
      <c r="D132" s="18">
        <f>E46</f>
        <v>693</v>
      </c>
      <c r="E132" s="18">
        <f>E80</f>
        <v>1287</v>
      </c>
      <c r="F132" s="96">
        <f>B109</f>
        <v>202000</v>
      </c>
      <c r="G132" s="18">
        <f>E109</f>
        <v>682.76</v>
      </c>
      <c r="H132" s="94">
        <v>1.052</v>
      </c>
      <c r="I132" s="145">
        <v>1.064</v>
      </c>
      <c r="J132" s="136">
        <v>29554</v>
      </c>
      <c r="K132" s="96">
        <f aca="true" t="shared" si="73" ref="K132:K151">G132/H132</f>
        <v>649.0114068441064</v>
      </c>
      <c r="L132" s="15">
        <f aca="true" t="shared" si="74" ref="L132:L151">G132/I132</f>
        <v>641.6917293233082</v>
      </c>
      <c r="M132" s="149">
        <f>G132*22827/J132</f>
        <v>527.3520511605874</v>
      </c>
      <c r="N132" s="107">
        <f aca="true" t="shared" si="75" ref="N132:N151">C132/100000</f>
        <v>0.00661</v>
      </c>
      <c r="O132" s="108">
        <f aca="true" t="shared" si="76" ref="O132:O151">D132/250000</f>
        <v>0.002772</v>
      </c>
      <c r="P132" s="108">
        <f aca="true" t="shared" si="77" ref="P132:P151">E132/500000</f>
        <v>0.002574</v>
      </c>
      <c r="Q132" s="106">
        <f aca="true" t="shared" si="78" ref="Q132:Q151">G132/F132</f>
        <v>0.0033799999999999998</v>
      </c>
    </row>
    <row r="133" spans="1:17" ht="12.75">
      <c r="A133" s="12" t="s">
        <v>48</v>
      </c>
      <c r="B133" s="18" t="s">
        <v>63</v>
      </c>
      <c r="C133" s="95">
        <f>E9</f>
        <v>500</v>
      </c>
      <c r="D133" s="18">
        <f>E36</f>
        <v>500</v>
      </c>
      <c r="E133" s="18">
        <f>E70</f>
        <v>500</v>
      </c>
      <c r="F133" s="115">
        <f>B99</f>
        <v>100000</v>
      </c>
      <c r="G133" s="18">
        <f>E99</f>
        <v>500</v>
      </c>
      <c r="H133" s="94">
        <v>0.578</v>
      </c>
      <c r="I133" s="145">
        <v>0.738</v>
      </c>
      <c r="J133" s="137">
        <v>7337</v>
      </c>
      <c r="K133" s="96">
        <f t="shared" si="73"/>
        <v>865.0519031141869</v>
      </c>
      <c r="L133" s="15">
        <f t="shared" si="74"/>
        <v>677.5067750677507</v>
      </c>
      <c r="M133" s="149">
        <f aca="true" t="shared" si="79" ref="M133:M151">G133*22827/J133</f>
        <v>1555.6085593566852</v>
      </c>
      <c r="N133" s="107">
        <f t="shared" si="75"/>
        <v>0.005</v>
      </c>
      <c r="O133" s="108">
        <f t="shared" si="76"/>
        <v>0.002</v>
      </c>
      <c r="P133" s="108">
        <f t="shared" si="77"/>
        <v>0.001</v>
      </c>
      <c r="Q133" s="109">
        <f t="shared" si="78"/>
        <v>0.005</v>
      </c>
    </row>
    <row r="134" spans="1:17" ht="12.75">
      <c r="A134" s="12" t="s">
        <v>0</v>
      </c>
      <c r="B134" s="18" t="s">
        <v>63</v>
      </c>
      <c r="C134" s="95">
        <f>E11</f>
        <v>990</v>
      </c>
      <c r="D134" s="18">
        <f>E38</f>
        <v>1170</v>
      </c>
      <c r="E134" s="18">
        <f>E72</f>
        <v>1350</v>
      </c>
      <c r="F134" s="95">
        <f>B101</f>
        <v>297750</v>
      </c>
      <c r="G134" s="18">
        <f>E101</f>
        <v>1204.38</v>
      </c>
      <c r="H134" s="94">
        <v>1.049</v>
      </c>
      <c r="I134" s="145">
        <v>1.088</v>
      </c>
      <c r="J134" s="137">
        <v>33688</v>
      </c>
      <c r="K134" s="96">
        <f t="shared" si="73"/>
        <v>1148.122020972355</v>
      </c>
      <c r="L134" s="15">
        <f t="shared" si="74"/>
        <v>1106.9669117647059</v>
      </c>
      <c r="M134" s="149">
        <f t="shared" si="79"/>
        <v>816.0882884113038</v>
      </c>
      <c r="N134" s="107">
        <f t="shared" si="75"/>
        <v>0.0099</v>
      </c>
      <c r="O134" s="108">
        <f t="shared" si="76"/>
        <v>0.00468</v>
      </c>
      <c r="P134" s="108">
        <f t="shared" si="77"/>
        <v>0.0027</v>
      </c>
      <c r="Q134" s="109">
        <f t="shared" si="78"/>
        <v>0.004044937027707809</v>
      </c>
    </row>
    <row r="135" spans="1:17" ht="12.75">
      <c r="A135" s="19" t="s">
        <v>8</v>
      </c>
      <c r="B135" s="18" t="s">
        <v>63</v>
      </c>
      <c r="C135" s="95">
        <f>E22</f>
        <v>1335</v>
      </c>
      <c r="D135" s="18">
        <f>E49</f>
        <v>1631</v>
      </c>
      <c r="E135" s="18">
        <f>E83</f>
        <v>2224</v>
      </c>
      <c r="F135" s="95">
        <f>B112</f>
        <v>193860</v>
      </c>
      <c r="G135" s="18">
        <f>E112</f>
        <v>1520.2170666666666</v>
      </c>
      <c r="H135" s="94">
        <v>1.049</v>
      </c>
      <c r="I135" s="145">
        <v>1.088</v>
      </c>
      <c r="J135" s="137">
        <v>33688</v>
      </c>
      <c r="K135" s="96">
        <f t="shared" si="73"/>
        <v>1449.2059739434383</v>
      </c>
      <c r="L135" s="15">
        <f t="shared" si="74"/>
        <v>1397.2583333333332</v>
      </c>
      <c r="M135" s="149">
        <f t="shared" si="79"/>
        <v>1030.0995897886487</v>
      </c>
      <c r="N135" s="107">
        <f t="shared" si="75"/>
        <v>0.01335</v>
      </c>
      <c r="O135" s="108">
        <f t="shared" si="76"/>
        <v>0.006524</v>
      </c>
      <c r="P135" s="108">
        <f t="shared" si="77"/>
        <v>0.004448</v>
      </c>
      <c r="Q135" s="109">
        <f t="shared" si="78"/>
        <v>0.007841829498951132</v>
      </c>
    </row>
    <row r="136" spans="1:17" ht="12.75">
      <c r="A136" s="12" t="s">
        <v>4</v>
      </c>
      <c r="B136" s="18" t="s">
        <v>63</v>
      </c>
      <c r="C136" s="95">
        <f>E17</f>
        <v>1000</v>
      </c>
      <c r="D136" s="18">
        <f>E44</f>
        <v>2000</v>
      </c>
      <c r="E136" s="18">
        <f>E78</f>
        <v>4000</v>
      </c>
      <c r="F136" s="95">
        <f>B107</f>
        <v>303310</v>
      </c>
      <c r="G136" s="18">
        <f>E107</f>
        <v>2426.48</v>
      </c>
      <c r="H136" s="94">
        <v>1.234</v>
      </c>
      <c r="I136" s="145">
        <v>1.204</v>
      </c>
      <c r="J136" s="137">
        <v>32233</v>
      </c>
      <c r="K136" s="96">
        <f t="shared" si="73"/>
        <v>1966.3533225283632</v>
      </c>
      <c r="L136" s="15">
        <f t="shared" si="74"/>
        <v>2015.3488372093025</v>
      </c>
      <c r="M136" s="149">
        <f t="shared" si="79"/>
        <v>1718.4022262898272</v>
      </c>
      <c r="N136" s="107">
        <f t="shared" si="75"/>
        <v>0.01</v>
      </c>
      <c r="O136" s="108">
        <f t="shared" si="76"/>
        <v>0.008</v>
      </c>
      <c r="P136" s="108">
        <f t="shared" si="77"/>
        <v>0.008</v>
      </c>
      <c r="Q136" s="109">
        <f t="shared" si="78"/>
        <v>0.008</v>
      </c>
    </row>
    <row r="137" spans="1:17" ht="12.75">
      <c r="A137" s="12" t="s">
        <v>188</v>
      </c>
      <c r="B137" s="18" t="s">
        <v>63</v>
      </c>
      <c r="C137" s="95">
        <f>E23</f>
        <v>420</v>
      </c>
      <c r="D137" s="18">
        <f>E50</f>
        <v>420</v>
      </c>
      <c r="E137" s="18">
        <f>E84</f>
        <v>420</v>
      </c>
      <c r="F137" s="115">
        <f>B113</f>
        <v>100000</v>
      </c>
      <c r="G137" s="18">
        <f>E113</f>
        <v>420</v>
      </c>
      <c r="H137" s="94">
        <v>0.576</v>
      </c>
      <c r="I137" s="145">
        <v>0.55</v>
      </c>
      <c r="J137" s="137">
        <v>5445</v>
      </c>
      <c r="K137" s="96">
        <f t="shared" si="73"/>
        <v>729.1666666666667</v>
      </c>
      <c r="L137" s="15">
        <f t="shared" si="74"/>
        <v>763.6363636363636</v>
      </c>
      <c r="M137" s="149">
        <f t="shared" si="79"/>
        <v>1760.7603305785124</v>
      </c>
      <c r="N137" s="107">
        <f>C137/100000</f>
        <v>0.0042</v>
      </c>
      <c r="O137" s="108">
        <f>D137/250000</f>
        <v>0.00168</v>
      </c>
      <c r="P137" s="108">
        <f>E137/500000</f>
        <v>0.00084</v>
      </c>
      <c r="Q137" s="109">
        <f>G137/F137</f>
        <v>0.0042</v>
      </c>
    </row>
    <row r="138" spans="1:17" ht="12.75">
      <c r="A138" s="12" t="s">
        <v>19</v>
      </c>
      <c r="B138" s="18" t="s">
        <v>65</v>
      </c>
      <c r="C138" s="95">
        <f>E16</f>
        <v>1000</v>
      </c>
      <c r="D138" s="18">
        <f>E43</f>
        <v>2100</v>
      </c>
      <c r="E138" s="18">
        <f>E77</f>
        <v>3000</v>
      </c>
      <c r="F138" s="115">
        <f>B106</f>
        <v>100000</v>
      </c>
      <c r="G138" s="18">
        <f>E106</f>
        <v>1000</v>
      </c>
      <c r="H138" s="94">
        <v>0.636</v>
      </c>
      <c r="I138" s="145">
        <v>0.611</v>
      </c>
      <c r="J138" s="137">
        <v>5848</v>
      </c>
      <c r="K138" s="96">
        <f t="shared" si="73"/>
        <v>1572.3270440251572</v>
      </c>
      <c r="L138" s="15">
        <f t="shared" si="74"/>
        <v>1636.6612111292964</v>
      </c>
      <c r="M138" s="149">
        <f t="shared" si="79"/>
        <v>3903.3857729138167</v>
      </c>
      <c r="N138" s="107">
        <f t="shared" si="75"/>
        <v>0.01</v>
      </c>
      <c r="O138" s="108">
        <f t="shared" si="76"/>
        <v>0.0084</v>
      </c>
      <c r="P138" s="108">
        <f t="shared" si="77"/>
        <v>0.006</v>
      </c>
      <c r="Q138" s="109">
        <f t="shared" si="78"/>
        <v>0.01</v>
      </c>
    </row>
    <row r="139" spans="1:17" ht="12.75">
      <c r="A139" s="12" t="s">
        <v>7</v>
      </c>
      <c r="B139" s="18" t="s">
        <v>64</v>
      </c>
      <c r="C139" s="95">
        <f>E20</f>
        <v>677</v>
      </c>
      <c r="D139" s="18">
        <f>E47</f>
        <v>1430</v>
      </c>
      <c r="E139" s="18">
        <f>E81</f>
        <v>2050</v>
      </c>
      <c r="F139" s="115">
        <f>B110</f>
        <v>100000</v>
      </c>
      <c r="G139" s="18">
        <f>E110</f>
        <v>677</v>
      </c>
      <c r="H139" s="94">
        <v>0.596</v>
      </c>
      <c r="I139" s="145">
        <v>0.546</v>
      </c>
      <c r="J139" s="137">
        <v>5200</v>
      </c>
      <c r="K139" s="96">
        <f t="shared" si="73"/>
        <v>1135.9060402684565</v>
      </c>
      <c r="L139" s="15">
        <f t="shared" si="74"/>
        <v>1239.9267399267399</v>
      </c>
      <c r="M139" s="149">
        <f t="shared" si="79"/>
        <v>2971.8998076923076</v>
      </c>
      <c r="N139" s="107">
        <f t="shared" si="75"/>
        <v>0.00677</v>
      </c>
      <c r="O139" s="108">
        <f t="shared" si="76"/>
        <v>0.00572</v>
      </c>
      <c r="P139" s="108">
        <f t="shared" si="77"/>
        <v>0.0041</v>
      </c>
      <c r="Q139" s="109">
        <f t="shared" si="78"/>
        <v>0.00677</v>
      </c>
    </row>
    <row r="140" spans="1:17" ht="12.75">
      <c r="A140" s="12" t="s">
        <v>3</v>
      </c>
      <c r="B140" s="18" t="s">
        <v>64</v>
      </c>
      <c r="C140" s="95">
        <f>E14</f>
        <v>578</v>
      </c>
      <c r="D140" s="18">
        <f>E41</f>
        <v>1140</v>
      </c>
      <c r="E140" s="18">
        <f>E75</f>
        <v>2048</v>
      </c>
      <c r="F140" s="95">
        <f>B104</f>
        <v>130862.5</v>
      </c>
      <c r="G140" s="18">
        <f>E104</f>
        <v>693.6315</v>
      </c>
      <c r="H140" s="94">
        <v>1.041</v>
      </c>
      <c r="I140" s="145">
        <v>1.06</v>
      </c>
      <c r="J140" s="137">
        <v>31916</v>
      </c>
      <c r="K140" s="96">
        <f t="shared" si="73"/>
        <v>666.3126801152738</v>
      </c>
      <c r="L140" s="15">
        <f t="shared" si="74"/>
        <v>654.3693396226414</v>
      </c>
      <c r="M140" s="149">
        <f t="shared" si="79"/>
        <v>496.09995771713244</v>
      </c>
      <c r="N140" s="107">
        <f t="shared" si="75"/>
        <v>0.00578</v>
      </c>
      <c r="O140" s="108">
        <f t="shared" si="76"/>
        <v>0.00456</v>
      </c>
      <c r="P140" s="108">
        <f t="shared" si="77"/>
        <v>0.004096</v>
      </c>
      <c r="Q140" s="109">
        <f t="shared" si="78"/>
        <v>0.005300460406915656</v>
      </c>
    </row>
    <row r="141" spans="1:17" ht="12.75">
      <c r="A141" s="12" t="s">
        <v>16</v>
      </c>
      <c r="B141" s="18" t="s">
        <v>64</v>
      </c>
      <c r="C141" s="95">
        <f>E24</f>
        <v>652.5</v>
      </c>
      <c r="D141" s="18">
        <f>E51</f>
        <v>967.5</v>
      </c>
      <c r="E141" s="18">
        <f>E85</f>
        <v>967.5</v>
      </c>
      <c r="F141" s="115">
        <f>B114</f>
        <v>100000</v>
      </c>
      <c r="G141" s="18">
        <f>E114</f>
        <v>652.5</v>
      </c>
      <c r="H141" s="94">
        <v>0.764</v>
      </c>
      <c r="I141" s="145">
        <v>0.731</v>
      </c>
      <c r="J141" s="137">
        <v>8901</v>
      </c>
      <c r="K141" s="96">
        <f t="shared" si="73"/>
        <v>854.0575916230366</v>
      </c>
      <c r="L141" s="15">
        <f t="shared" si="74"/>
        <v>892.6128590971273</v>
      </c>
      <c r="M141" s="149">
        <f t="shared" si="79"/>
        <v>1673.3645096056623</v>
      </c>
      <c r="N141" s="107">
        <f t="shared" si="75"/>
        <v>0.006525</v>
      </c>
      <c r="O141" s="108">
        <f t="shared" si="76"/>
        <v>0.00387</v>
      </c>
      <c r="P141" s="108">
        <f t="shared" si="77"/>
        <v>0.001935</v>
      </c>
      <c r="Q141" s="109">
        <f t="shared" si="78"/>
        <v>0.006525</v>
      </c>
    </row>
    <row r="142" spans="1:17" ht="12.75">
      <c r="A142" s="12" t="s">
        <v>9</v>
      </c>
      <c r="B142" s="18" t="s">
        <v>64</v>
      </c>
      <c r="C142" s="95">
        <f>E25</f>
        <v>479</v>
      </c>
      <c r="D142" s="18">
        <f>E52</f>
        <v>663</v>
      </c>
      <c r="E142" s="18">
        <f>E86</f>
        <v>763</v>
      </c>
      <c r="F142" s="95">
        <f>B115</f>
        <v>172630</v>
      </c>
      <c r="G142" s="18">
        <f>E115</f>
        <v>568.0928</v>
      </c>
      <c r="H142" s="94">
        <v>0.9</v>
      </c>
      <c r="I142" s="145">
        <v>0.902</v>
      </c>
      <c r="J142" s="137">
        <v>18004</v>
      </c>
      <c r="K142" s="96">
        <f t="shared" si="73"/>
        <v>631.2142222222222</v>
      </c>
      <c r="L142" s="15">
        <f t="shared" si="74"/>
        <v>629.8146341463414</v>
      </c>
      <c r="M142" s="149">
        <f t="shared" si="79"/>
        <v>720.2762911353033</v>
      </c>
      <c r="N142" s="107">
        <f t="shared" si="75"/>
        <v>0.00479</v>
      </c>
      <c r="O142" s="108">
        <f t="shared" si="76"/>
        <v>0.002652</v>
      </c>
      <c r="P142" s="108">
        <f t="shared" si="77"/>
        <v>0.001526</v>
      </c>
      <c r="Q142" s="109">
        <f t="shared" si="78"/>
        <v>0.003290811562300875</v>
      </c>
    </row>
    <row r="143" spans="1:17" ht="12.75">
      <c r="A143" s="14" t="s">
        <v>12</v>
      </c>
      <c r="B143" s="15" t="s">
        <v>64</v>
      </c>
      <c r="C143" s="96">
        <f>E7</f>
        <v>1400</v>
      </c>
      <c r="D143" s="15">
        <f>E34</f>
        <v>1900</v>
      </c>
      <c r="E143" s="15">
        <f>E68</f>
        <v>2900</v>
      </c>
      <c r="F143" s="115">
        <f>B97</f>
        <v>150000</v>
      </c>
      <c r="G143" s="15">
        <f>E97</f>
        <v>1566.6666666666667</v>
      </c>
      <c r="H143" s="94">
        <v>1.029</v>
      </c>
      <c r="I143" s="145">
        <v>1.037</v>
      </c>
      <c r="J143" s="137">
        <v>28009</v>
      </c>
      <c r="K143" s="96">
        <f t="shared" si="73"/>
        <v>1522.5137674117268</v>
      </c>
      <c r="L143" s="15">
        <f t="shared" si="74"/>
        <v>1510.768241722919</v>
      </c>
      <c r="M143" s="149">
        <f t="shared" si="79"/>
        <v>1276.8145953086507</v>
      </c>
      <c r="N143" s="107">
        <f t="shared" si="75"/>
        <v>0.014</v>
      </c>
      <c r="O143" s="108">
        <f t="shared" si="76"/>
        <v>0.0076</v>
      </c>
      <c r="P143" s="108">
        <f t="shared" si="77"/>
        <v>0.0058</v>
      </c>
      <c r="Q143" s="109">
        <f t="shared" si="78"/>
        <v>0.010444444444444445</v>
      </c>
    </row>
    <row r="144" spans="1:17" ht="12.75">
      <c r="A144" s="12" t="s">
        <v>2</v>
      </c>
      <c r="B144" s="18" t="s">
        <v>64</v>
      </c>
      <c r="C144" s="95">
        <f>E13</f>
        <v>1153</v>
      </c>
      <c r="D144" s="18">
        <f>E40</f>
        <v>2391</v>
      </c>
      <c r="E144" s="18">
        <f>E74</f>
        <v>4453</v>
      </c>
      <c r="F144" s="95">
        <f>B103</f>
        <v>226629.91335412173</v>
      </c>
      <c r="G144" s="18">
        <f>E103</f>
        <v>2198.118884882685</v>
      </c>
      <c r="H144" s="94">
        <v>1.085</v>
      </c>
      <c r="I144" s="145">
        <v>1.069</v>
      </c>
      <c r="J144" s="137">
        <v>25050</v>
      </c>
      <c r="K144" s="96">
        <f t="shared" si="73"/>
        <v>2025.9160229333504</v>
      </c>
      <c r="L144" s="15">
        <f t="shared" si="74"/>
        <v>2056.2384330053183</v>
      </c>
      <c r="M144" s="149">
        <f t="shared" si="79"/>
        <v>2003.0522868350122</v>
      </c>
      <c r="N144" s="107">
        <f t="shared" si="75"/>
        <v>0.01153</v>
      </c>
      <c r="O144" s="108">
        <f t="shared" si="76"/>
        <v>0.009564</v>
      </c>
      <c r="P144" s="108">
        <f t="shared" si="77"/>
        <v>0.008906</v>
      </c>
      <c r="Q144" s="109">
        <f t="shared" si="78"/>
        <v>0.009699156004388544</v>
      </c>
    </row>
    <row r="145" spans="1:17" ht="12.75">
      <c r="A145" s="14" t="s">
        <v>13</v>
      </c>
      <c r="B145" s="15" t="s">
        <v>64</v>
      </c>
      <c r="C145" s="96">
        <f>E8</f>
        <v>1594</v>
      </c>
      <c r="D145" s="15">
        <f>E35</f>
        <v>2448</v>
      </c>
      <c r="E145" s="15">
        <f>E69</f>
        <v>2592</v>
      </c>
      <c r="F145" s="95">
        <f>B98</f>
        <v>167000</v>
      </c>
      <c r="G145" s="15">
        <f>E98</f>
        <v>1975.4533333333334</v>
      </c>
      <c r="H145" s="94">
        <v>1.043</v>
      </c>
      <c r="I145" s="145">
        <v>1.033</v>
      </c>
      <c r="J145" s="137">
        <v>28324</v>
      </c>
      <c r="K145" s="96">
        <f t="shared" si="73"/>
        <v>1894.0108660914032</v>
      </c>
      <c r="L145" s="15">
        <f t="shared" si="74"/>
        <v>1912.345918038077</v>
      </c>
      <c r="M145" s="149">
        <f t="shared" si="79"/>
        <v>1592.0658536929814</v>
      </c>
      <c r="N145" s="107">
        <f t="shared" si="75"/>
        <v>0.01594</v>
      </c>
      <c r="O145" s="108">
        <f t="shared" si="76"/>
        <v>0.009792</v>
      </c>
      <c r="P145" s="108">
        <f t="shared" si="77"/>
        <v>0.005184</v>
      </c>
      <c r="Q145" s="109">
        <f t="shared" si="78"/>
        <v>0.011829061876247505</v>
      </c>
    </row>
    <row r="146" spans="1:17" ht="12.75">
      <c r="A146" s="14" t="s">
        <v>189</v>
      </c>
      <c r="B146" s="15" t="s">
        <v>64</v>
      </c>
      <c r="C146" s="96">
        <f>E21</f>
        <v>449.5</v>
      </c>
      <c r="D146" s="15">
        <f>E48</f>
        <v>520.59</v>
      </c>
      <c r="E146" s="15">
        <f>E111</f>
        <v>449.5</v>
      </c>
      <c r="F146" s="115">
        <f>B111</f>
        <v>100000</v>
      </c>
      <c r="G146" s="15">
        <f>E99</f>
        <v>500</v>
      </c>
      <c r="H146" s="94">
        <v>0.852</v>
      </c>
      <c r="I146" s="145">
        <v>0.713</v>
      </c>
      <c r="J146" s="137">
        <v>12086</v>
      </c>
      <c r="K146" s="96">
        <f>G146/H146</f>
        <v>586.8544600938967</v>
      </c>
      <c r="L146" s="15">
        <f>G146/I146</f>
        <v>701.2622720897616</v>
      </c>
      <c r="M146" s="149">
        <f>G146*22827/J146</f>
        <v>944.3571073969882</v>
      </c>
      <c r="N146" s="107">
        <f>C146/100000</f>
        <v>0.004495</v>
      </c>
      <c r="O146" s="108">
        <f>D146/250000</f>
        <v>0.00208236</v>
      </c>
      <c r="P146" s="108">
        <f>E146/500000</f>
        <v>0.000899</v>
      </c>
      <c r="Q146" s="109">
        <f>G146/F146</f>
        <v>0.005</v>
      </c>
    </row>
    <row r="147" spans="1:17" ht="12.75">
      <c r="A147" s="12" t="s">
        <v>5</v>
      </c>
      <c r="B147" s="18" t="s">
        <v>64</v>
      </c>
      <c r="C147" s="95">
        <f>E18</f>
        <v>1500</v>
      </c>
      <c r="D147" s="18">
        <f>E45</f>
        <v>1950</v>
      </c>
      <c r="E147" s="18">
        <f>E79</f>
        <v>3100</v>
      </c>
      <c r="F147" s="95">
        <f>B108</f>
        <v>129532</v>
      </c>
      <c r="G147" s="18">
        <f>E108</f>
        <v>1588.596</v>
      </c>
      <c r="H147" s="94">
        <v>1.026</v>
      </c>
      <c r="I147" s="145">
        <v>1.006</v>
      </c>
      <c r="J147" s="137">
        <v>19636</v>
      </c>
      <c r="K147" s="96">
        <f t="shared" si="73"/>
        <v>1548.3391812865498</v>
      </c>
      <c r="L147" s="15">
        <f t="shared" si="74"/>
        <v>1579.1212723658052</v>
      </c>
      <c r="M147" s="149">
        <f t="shared" si="79"/>
        <v>1846.7549853330615</v>
      </c>
      <c r="N147" s="107">
        <f t="shared" si="75"/>
        <v>0.015</v>
      </c>
      <c r="O147" s="108">
        <f t="shared" si="76"/>
        <v>0.0078</v>
      </c>
      <c r="P147" s="108">
        <f t="shared" si="77"/>
        <v>0.0062</v>
      </c>
      <c r="Q147" s="109">
        <f t="shared" si="78"/>
        <v>0.012264120062996016</v>
      </c>
    </row>
    <row r="148" spans="1:17" ht="12.75">
      <c r="A148" s="12" t="s">
        <v>15</v>
      </c>
      <c r="B148" s="18" t="s">
        <v>65</v>
      </c>
      <c r="C148" s="95">
        <f>E15</f>
        <v>2840</v>
      </c>
      <c r="D148" s="18">
        <f>E42</f>
        <v>6140</v>
      </c>
      <c r="E148" s="18">
        <f>E76</f>
        <v>11640</v>
      </c>
      <c r="F148" s="115">
        <f>B105</f>
        <v>130000</v>
      </c>
      <c r="G148" s="18">
        <f>E105</f>
        <v>3500</v>
      </c>
      <c r="H148" s="94">
        <v>0.878</v>
      </c>
      <c r="I148" s="145">
        <v>0.849</v>
      </c>
      <c r="J148" s="137">
        <v>17140</v>
      </c>
      <c r="K148" s="96">
        <f t="shared" si="73"/>
        <v>3986.3325740318905</v>
      </c>
      <c r="L148" s="15">
        <f t="shared" si="74"/>
        <v>4122.497055359247</v>
      </c>
      <c r="M148" s="149">
        <f t="shared" si="79"/>
        <v>4661.289381563594</v>
      </c>
      <c r="N148" s="107">
        <f t="shared" si="75"/>
        <v>0.0284</v>
      </c>
      <c r="O148" s="108">
        <f t="shared" si="76"/>
        <v>0.02456</v>
      </c>
      <c r="P148" s="108">
        <f t="shared" si="77"/>
        <v>0.02328</v>
      </c>
      <c r="Q148" s="109">
        <f t="shared" si="78"/>
        <v>0.026923076923076925</v>
      </c>
    </row>
    <row r="149" spans="1:17" ht="12.75">
      <c r="A149" s="12" t="s">
        <v>10</v>
      </c>
      <c r="B149" s="18" t="s">
        <v>66</v>
      </c>
      <c r="C149" s="95">
        <v>500</v>
      </c>
      <c r="D149" s="18">
        <v>500</v>
      </c>
      <c r="E149" s="18">
        <v>500</v>
      </c>
      <c r="F149" s="95">
        <f>B116</f>
        <v>147500</v>
      </c>
      <c r="G149" s="18">
        <f>C149</f>
        <v>500</v>
      </c>
      <c r="H149" s="94">
        <v>1.206</v>
      </c>
      <c r="I149" s="145">
        <v>1.187</v>
      </c>
      <c r="J149" s="137">
        <v>25479</v>
      </c>
      <c r="K149" s="96">
        <f t="shared" si="73"/>
        <v>414.5936981757877</v>
      </c>
      <c r="L149" s="15">
        <f t="shared" si="74"/>
        <v>421.22999157540016</v>
      </c>
      <c r="M149" s="149">
        <f t="shared" si="79"/>
        <v>447.9571411750854</v>
      </c>
      <c r="N149" s="107">
        <f t="shared" si="75"/>
        <v>0.005</v>
      </c>
      <c r="O149" s="108">
        <f t="shared" si="76"/>
        <v>0.002</v>
      </c>
      <c r="P149" s="108">
        <f t="shared" si="77"/>
        <v>0.001</v>
      </c>
      <c r="Q149" s="109">
        <f t="shared" si="78"/>
        <v>0.003389830508474576</v>
      </c>
    </row>
    <row r="150" spans="1:17" ht="12.75">
      <c r="A150" s="12" t="s">
        <v>1</v>
      </c>
      <c r="B150" s="18" t="s">
        <v>66</v>
      </c>
      <c r="C150" s="95">
        <f>500+77</f>
        <v>577</v>
      </c>
      <c r="D150" s="18">
        <f>500+77</f>
        <v>577</v>
      </c>
      <c r="E150" s="18">
        <f>500+77</f>
        <v>577</v>
      </c>
      <c r="F150" s="95">
        <f>B102</f>
        <v>123756</v>
      </c>
      <c r="G150" s="18">
        <f>C150</f>
        <v>577</v>
      </c>
      <c r="H150" s="94">
        <v>1.22</v>
      </c>
      <c r="I150" s="145">
        <v>1.128</v>
      </c>
      <c r="J150" s="137">
        <v>25006</v>
      </c>
      <c r="K150" s="96">
        <f t="shared" si="73"/>
        <v>472.95081967213116</v>
      </c>
      <c r="L150" s="15">
        <f t="shared" si="74"/>
        <v>511.5248226950355</v>
      </c>
      <c r="M150" s="149">
        <f t="shared" si="79"/>
        <v>526.7207470207151</v>
      </c>
      <c r="N150" s="107">
        <f t="shared" si="75"/>
        <v>0.00577</v>
      </c>
      <c r="O150" s="108">
        <f t="shared" si="76"/>
        <v>0.002308</v>
      </c>
      <c r="P150" s="108">
        <f t="shared" si="77"/>
        <v>0.001154</v>
      </c>
      <c r="Q150" s="109">
        <f t="shared" si="78"/>
        <v>0.0046624002068586575</v>
      </c>
    </row>
    <row r="151" spans="1:17" ht="12.75">
      <c r="A151" s="20" t="s">
        <v>14</v>
      </c>
      <c r="B151" s="21" t="s">
        <v>66</v>
      </c>
      <c r="C151" s="129">
        <f>1013+500</f>
        <v>1513</v>
      </c>
      <c r="D151" s="21">
        <f>1013+500</f>
        <v>1513</v>
      </c>
      <c r="E151" s="134">
        <f>1013+500</f>
        <v>1513</v>
      </c>
      <c r="F151" s="95">
        <f>B100</f>
        <v>221742.5</v>
      </c>
      <c r="G151" s="18">
        <f>C151</f>
        <v>1513</v>
      </c>
      <c r="H151" s="94">
        <v>1.358</v>
      </c>
      <c r="I151" s="145">
        <v>1.321</v>
      </c>
      <c r="J151" s="138">
        <v>31202</v>
      </c>
      <c r="K151" s="96">
        <f t="shared" si="73"/>
        <v>1114.1384388807069</v>
      </c>
      <c r="L151" s="22">
        <f t="shared" si="74"/>
        <v>1145.344436033308</v>
      </c>
      <c r="M151" s="149">
        <f t="shared" si="79"/>
        <v>1106.8922184475355</v>
      </c>
      <c r="N151" s="107">
        <f t="shared" si="75"/>
        <v>0.01513</v>
      </c>
      <c r="O151" s="108">
        <f t="shared" si="76"/>
        <v>0.006052</v>
      </c>
      <c r="P151" s="108">
        <f t="shared" si="77"/>
        <v>0.003026</v>
      </c>
      <c r="Q151" s="109">
        <f t="shared" si="78"/>
        <v>0.006823229647000462</v>
      </c>
    </row>
    <row r="152" spans="1:17" ht="15.75">
      <c r="A152" s="42" t="s">
        <v>27</v>
      </c>
      <c r="B152" s="110"/>
      <c r="C152" s="111">
        <f>SUM(C132:C151)/C153</f>
        <v>990.95</v>
      </c>
      <c r="D152" s="110">
        <f>SUM(D132:D151)/C153</f>
        <v>1532.7045</v>
      </c>
      <c r="E152" s="110">
        <f>SUM(E132:E151)/C153</f>
        <v>2316.7</v>
      </c>
      <c r="F152" s="111">
        <f>SUM(F132:F151)/C153</f>
        <v>159828.6456677061</v>
      </c>
      <c r="G152" s="110">
        <f>SUM(G132:G151)/C153</f>
        <v>1213.1948125774675</v>
      </c>
      <c r="H152" s="142"/>
      <c r="I152" s="146"/>
      <c r="J152" s="168">
        <f>SUM(J132:J151)/C153</f>
        <v>21187.3</v>
      </c>
      <c r="K152" s="110">
        <f>SUM(K132:K151)/C153</f>
        <v>1261.6189350450354</v>
      </c>
      <c r="L152" s="110">
        <f>SUM(L132:L151)/C153</f>
        <v>1280.806308857089</v>
      </c>
      <c r="M152" s="110">
        <f>SUM(M132:M151)/C153</f>
        <v>1578.9620850711701</v>
      </c>
      <c r="N152" s="52">
        <f>SUM(N132:N151)/C153</f>
        <v>0.009909500000000002</v>
      </c>
      <c r="O152" s="53">
        <f>SUM(O132:O151)/C153</f>
        <v>0.006130818000000001</v>
      </c>
      <c r="P152" s="53">
        <f>SUM(P132:P151)/C153</f>
        <v>0.0046334</v>
      </c>
      <c r="Q152" s="54">
        <f>SUM(Q132:Q151)/C153</f>
        <v>0.00776941790846813</v>
      </c>
    </row>
    <row r="153" spans="1:17" ht="15.75">
      <c r="A153" s="160"/>
      <c r="B153" s="166" t="s">
        <v>198</v>
      </c>
      <c r="C153" s="167">
        <v>20</v>
      </c>
      <c r="D153" s="17"/>
      <c r="E153" s="17"/>
      <c r="F153" s="17"/>
      <c r="G153" s="17"/>
      <c r="H153" s="123"/>
      <c r="I153" s="123"/>
      <c r="K153" s="123"/>
      <c r="L153" s="123"/>
      <c r="N153" s="32"/>
      <c r="O153" s="32"/>
      <c r="P153" s="32"/>
      <c r="Q153" s="32"/>
    </row>
    <row r="154" spans="1:17" ht="15.75">
      <c r="A154" s="29"/>
      <c r="B154" s="17"/>
      <c r="C154" s="17"/>
      <c r="D154" s="17"/>
      <c r="E154" s="17"/>
      <c r="F154" s="17"/>
      <c r="G154" s="17"/>
      <c r="H154" s="123"/>
      <c r="I154" s="123"/>
      <c r="J154" s="91"/>
      <c r="K154" s="123"/>
      <c r="L154" s="123"/>
      <c r="N154" s="32"/>
      <c r="O154" s="32"/>
      <c r="P154" s="32"/>
      <c r="Q154" s="32"/>
    </row>
    <row r="155" ht="12.75">
      <c r="I155" s="2"/>
    </row>
    <row r="156" spans="1:9" ht="12.75">
      <c r="A156" s="121"/>
      <c r="B156" s="121" t="s">
        <v>104</v>
      </c>
      <c r="I156" s="2"/>
    </row>
    <row r="157" spans="1:17" ht="12.75">
      <c r="A157" s="7"/>
      <c r="B157" s="8"/>
      <c r="C157" s="128"/>
      <c r="D157" s="30" t="s">
        <v>106</v>
      </c>
      <c r="E157" s="8"/>
      <c r="F157" s="154" t="s">
        <v>58</v>
      </c>
      <c r="G157" s="97" t="s">
        <v>67</v>
      </c>
      <c r="H157" s="40" t="s">
        <v>68</v>
      </c>
      <c r="I157" s="30" t="s">
        <v>69</v>
      </c>
      <c r="J157" s="99" t="s">
        <v>111</v>
      </c>
      <c r="K157" s="116" t="s">
        <v>58</v>
      </c>
      <c r="L157" s="98"/>
      <c r="M157" s="139" t="s">
        <v>111</v>
      </c>
      <c r="N157" s="40"/>
      <c r="O157" s="30" t="s">
        <v>70</v>
      </c>
      <c r="P157" s="30"/>
      <c r="Q157" s="99"/>
    </row>
    <row r="158" spans="1:17" ht="12.75">
      <c r="A158" s="12"/>
      <c r="B158" s="4" t="s">
        <v>105</v>
      </c>
      <c r="C158" s="103">
        <v>100000</v>
      </c>
      <c r="D158" s="100">
        <v>250000</v>
      </c>
      <c r="E158" s="100">
        <v>500000</v>
      </c>
      <c r="F158" s="155" t="s">
        <v>71</v>
      </c>
      <c r="G158" s="101" t="s">
        <v>72</v>
      </c>
      <c r="H158" s="102" t="s">
        <v>73</v>
      </c>
      <c r="I158" s="135" t="s">
        <v>93</v>
      </c>
      <c r="J158" s="153" t="s">
        <v>112</v>
      </c>
      <c r="K158" s="117" t="s">
        <v>94</v>
      </c>
      <c r="L158" s="63" t="s">
        <v>95</v>
      </c>
      <c r="M158" s="39" t="s">
        <v>112</v>
      </c>
      <c r="N158" s="103">
        <v>100000</v>
      </c>
      <c r="O158" s="100">
        <v>250000</v>
      </c>
      <c r="P158" s="100">
        <v>500000</v>
      </c>
      <c r="Q158" s="113" t="s">
        <v>27</v>
      </c>
    </row>
    <row r="159" spans="1:17" ht="12.75">
      <c r="A159" s="56"/>
      <c r="B159" s="58"/>
      <c r="C159" s="57"/>
      <c r="D159" s="104"/>
      <c r="E159" s="58"/>
      <c r="F159" s="118" t="s">
        <v>74</v>
      </c>
      <c r="G159" s="58"/>
      <c r="H159" s="57">
        <v>2005</v>
      </c>
      <c r="I159" s="58"/>
      <c r="J159" s="140" t="s">
        <v>113</v>
      </c>
      <c r="K159" s="118" t="s">
        <v>73</v>
      </c>
      <c r="L159" s="119" t="s">
        <v>96</v>
      </c>
      <c r="M159" s="140" t="s">
        <v>113</v>
      </c>
      <c r="N159" s="57"/>
      <c r="O159" s="58"/>
      <c r="P159" s="58"/>
      <c r="Q159" s="114" t="s">
        <v>94</v>
      </c>
    </row>
    <row r="160" spans="1:17" ht="12.75">
      <c r="A160" s="130" t="s">
        <v>98</v>
      </c>
      <c r="B160" s="120" t="s">
        <v>97</v>
      </c>
      <c r="C160" s="95">
        <f aca="true" t="shared" si="80" ref="C160:Q160">SUM(C149:C151)/3</f>
        <v>863.3333333333334</v>
      </c>
      <c r="D160" s="122">
        <f t="shared" si="80"/>
        <v>863.3333333333334</v>
      </c>
      <c r="E160" s="122">
        <f t="shared" si="80"/>
        <v>863.3333333333334</v>
      </c>
      <c r="F160" s="95">
        <f t="shared" si="80"/>
        <v>164332.83333333334</v>
      </c>
      <c r="G160" s="122">
        <f t="shared" si="80"/>
        <v>863.3333333333334</v>
      </c>
      <c r="H160" s="143">
        <f t="shared" si="80"/>
        <v>1.2613333333333334</v>
      </c>
      <c r="I160" s="147">
        <f t="shared" si="80"/>
        <v>1.212</v>
      </c>
      <c r="J160" s="141">
        <f t="shared" si="80"/>
        <v>27229</v>
      </c>
      <c r="K160" s="88">
        <f t="shared" si="80"/>
        <v>667.2276522428753</v>
      </c>
      <c r="L160" s="88">
        <f t="shared" si="80"/>
        <v>692.6997501012479</v>
      </c>
      <c r="M160" s="150">
        <f t="shared" si="80"/>
        <v>693.8567022144452</v>
      </c>
      <c r="N160" s="25">
        <f t="shared" si="80"/>
        <v>0.008633333333333333</v>
      </c>
      <c r="O160" s="25">
        <f t="shared" si="80"/>
        <v>0.003453333333333334</v>
      </c>
      <c r="P160" s="25">
        <f t="shared" si="80"/>
        <v>0.001726666666666667</v>
      </c>
      <c r="Q160" s="156">
        <f t="shared" si="80"/>
        <v>0.004958486787444565</v>
      </c>
    </row>
    <row r="161" spans="1:17" ht="12.75">
      <c r="A161" s="131" t="s">
        <v>99</v>
      </c>
      <c r="B161" s="120" t="s">
        <v>102</v>
      </c>
      <c r="C161" s="95">
        <f>SUM(C133:C137)/5</f>
        <v>849</v>
      </c>
      <c r="D161" s="18">
        <f aca="true" t="shared" si="81" ref="D161:Q161">SUM(D133:D137)/5</f>
        <v>1144.2</v>
      </c>
      <c r="E161" s="149">
        <f t="shared" si="81"/>
        <v>1698.8</v>
      </c>
      <c r="F161" s="95">
        <f t="shared" si="81"/>
        <v>198984</v>
      </c>
      <c r="G161" s="18">
        <f t="shared" si="81"/>
        <v>1214.2154133333333</v>
      </c>
      <c r="H161" s="26">
        <f t="shared" si="81"/>
        <v>0.8972</v>
      </c>
      <c r="I161" s="27">
        <f t="shared" si="81"/>
        <v>0.9336</v>
      </c>
      <c r="J161" s="18">
        <f t="shared" si="81"/>
        <v>22478.2</v>
      </c>
      <c r="K161" s="95">
        <f t="shared" si="81"/>
        <v>1231.579977445002</v>
      </c>
      <c r="L161" s="95">
        <f t="shared" si="81"/>
        <v>1192.1434442022914</v>
      </c>
      <c r="M161" s="95">
        <f t="shared" si="81"/>
        <v>1376.1917988849955</v>
      </c>
      <c r="N161" s="26">
        <f t="shared" si="81"/>
        <v>0.008490000000000001</v>
      </c>
      <c r="O161" s="27">
        <f t="shared" si="81"/>
        <v>0.004576800000000001</v>
      </c>
      <c r="P161" s="27">
        <f t="shared" si="81"/>
        <v>0.0033975999999999998</v>
      </c>
      <c r="Q161" s="28">
        <f t="shared" si="81"/>
        <v>0.005817353305331788</v>
      </c>
    </row>
    <row r="162" spans="1:17" ht="12.75">
      <c r="A162" s="131" t="s">
        <v>100</v>
      </c>
      <c r="B162" s="120" t="s">
        <v>6</v>
      </c>
      <c r="C162" s="95">
        <f aca="true" t="shared" si="82" ref="C162:Q162">C132</f>
        <v>661</v>
      </c>
      <c r="D162" s="122">
        <f t="shared" si="82"/>
        <v>693</v>
      </c>
      <c r="E162" s="122">
        <f t="shared" si="82"/>
        <v>1287</v>
      </c>
      <c r="F162" s="95">
        <f t="shared" si="82"/>
        <v>202000</v>
      </c>
      <c r="G162" s="122">
        <f t="shared" si="82"/>
        <v>682.76</v>
      </c>
      <c r="H162" s="26">
        <f t="shared" si="82"/>
        <v>1.052</v>
      </c>
      <c r="I162" s="27">
        <f t="shared" si="82"/>
        <v>1.064</v>
      </c>
      <c r="J162" s="18">
        <f t="shared" si="82"/>
        <v>29554</v>
      </c>
      <c r="K162" s="89">
        <f t="shared" si="82"/>
        <v>649.0114068441064</v>
      </c>
      <c r="L162" s="89">
        <f t="shared" si="82"/>
        <v>641.6917293233082</v>
      </c>
      <c r="M162" s="149">
        <f t="shared" si="82"/>
        <v>527.3520511605874</v>
      </c>
      <c r="N162" s="25">
        <f t="shared" si="82"/>
        <v>0.00661</v>
      </c>
      <c r="O162" s="25">
        <f t="shared" si="82"/>
        <v>0.002772</v>
      </c>
      <c r="P162" s="25">
        <f t="shared" si="82"/>
        <v>0.002574</v>
      </c>
      <c r="Q162" s="28">
        <f t="shared" si="82"/>
        <v>0.0033799999999999998</v>
      </c>
    </row>
    <row r="163" spans="1:17" ht="12.75">
      <c r="A163" s="132" t="s">
        <v>101</v>
      </c>
      <c r="B163" s="120" t="s">
        <v>103</v>
      </c>
      <c r="C163" s="95">
        <f aca="true" t="shared" si="83" ref="C163:Q163">SUM(C139:C147)/9</f>
        <v>942.5555555555555</v>
      </c>
      <c r="D163" s="122">
        <f t="shared" si="83"/>
        <v>1490.01</v>
      </c>
      <c r="E163" s="122">
        <f t="shared" si="83"/>
        <v>2147</v>
      </c>
      <c r="F163" s="95">
        <f t="shared" si="83"/>
        <v>141850.4903726802</v>
      </c>
      <c r="G163" s="122">
        <f t="shared" si="83"/>
        <v>1157.7843538758539</v>
      </c>
      <c r="H163" s="144">
        <f t="shared" si="83"/>
        <v>0.9262222222222223</v>
      </c>
      <c r="I163" s="148">
        <f t="shared" si="83"/>
        <v>0.8996666666666666</v>
      </c>
      <c r="J163" s="21">
        <f t="shared" si="83"/>
        <v>19680.666666666668</v>
      </c>
      <c r="K163" s="127">
        <f t="shared" si="83"/>
        <v>1207.2360924495463</v>
      </c>
      <c r="L163" s="127">
        <f t="shared" si="83"/>
        <v>1241.8288566683032</v>
      </c>
      <c r="M163" s="134">
        <f t="shared" si="83"/>
        <v>1502.7428216352334</v>
      </c>
      <c r="N163" s="25">
        <f t="shared" si="83"/>
        <v>0.009425555555555555</v>
      </c>
      <c r="O163" s="25">
        <f t="shared" si="83"/>
        <v>0.00596004</v>
      </c>
      <c r="P163" s="25">
        <f t="shared" si="83"/>
        <v>0.004293999999999999</v>
      </c>
      <c r="Q163" s="157">
        <f t="shared" si="83"/>
        <v>0.007902561595254784</v>
      </c>
    </row>
    <row r="164" spans="1:17" ht="15.75">
      <c r="A164" s="124"/>
      <c r="B164" s="125" t="s">
        <v>107</v>
      </c>
      <c r="C164" s="111">
        <f>C152</f>
        <v>990.95</v>
      </c>
      <c r="D164" s="110">
        <f>D152</f>
        <v>1532.7045</v>
      </c>
      <c r="E164" s="110">
        <f>E152</f>
        <v>2316.7</v>
      </c>
      <c r="F164" s="111">
        <f>F152</f>
        <v>159828.6456677061</v>
      </c>
      <c r="G164" s="110">
        <f>G152</f>
        <v>1213.1948125774675</v>
      </c>
      <c r="H164" s="142"/>
      <c r="I164" s="146"/>
      <c r="J164" s="41"/>
      <c r="K164" s="126">
        <f aca="true" t="shared" si="84" ref="K164:Q164">K152</f>
        <v>1261.6189350450354</v>
      </c>
      <c r="L164" s="126">
        <f t="shared" si="84"/>
        <v>1280.806308857089</v>
      </c>
      <c r="M164" s="151">
        <f t="shared" si="84"/>
        <v>1578.9620850711701</v>
      </c>
      <c r="N164" s="52">
        <f t="shared" si="84"/>
        <v>0.009909500000000002</v>
      </c>
      <c r="O164" s="53">
        <f t="shared" si="84"/>
        <v>0.006130818000000001</v>
      </c>
      <c r="P164" s="53">
        <f t="shared" si="84"/>
        <v>0.0046334</v>
      </c>
      <c r="Q164" s="54">
        <f t="shared" si="84"/>
        <v>0.00776941790846813</v>
      </c>
    </row>
    <row r="165" ht="12.75">
      <c r="A165" s="73"/>
    </row>
    <row r="166" ht="12.75">
      <c r="A166" s="73"/>
    </row>
    <row r="169" spans="1:2" ht="12.75">
      <c r="A169" t="s">
        <v>75</v>
      </c>
      <c r="B169" s="91" t="s">
        <v>60</v>
      </c>
    </row>
    <row r="170" ht="12.75">
      <c r="A170" t="s">
        <v>76</v>
      </c>
    </row>
    <row r="171" ht="12.75">
      <c r="B171" t="s">
        <v>115</v>
      </c>
    </row>
    <row r="172" spans="1:2" ht="12.75">
      <c r="A172" t="s">
        <v>121</v>
      </c>
      <c r="B172" t="s">
        <v>77</v>
      </c>
    </row>
    <row r="173" ht="12.75">
      <c r="B173" t="s">
        <v>78</v>
      </c>
    </row>
    <row r="174" ht="12.75">
      <c r="A174" t="s">
        <v>152</v>
      </c>
    </row>
    <row r="175" spans="1:2" ht="12.75">
      <c r="A175" t="s">
        <v>79</v>
      </c>
      <c r="B175" t="s">
        <v>200</v>
      </c>
    </row>
    <row r="177" spans="1:2" ht="12.75">
      <c r="A177" t="s">
        <v>80</v>
      </c>
      <c r="B177" t="s">
        <v>81</v>
      </c>
    </row>
    <row r="178" ht="12.75">
      <c r="B178" s="79" t="s">
        <v>192</v>
      </c>
    </row>
    <row r="179" spans="2:3" ht="12.75">
      <c r="B179" s="79" t="s">
        <v>190</v>
      </c>
      <c r="C179" s="165" t="s">
        <v>191</v>
      </c>
    </row>
    <row r="180" ht="12.75">
      <c r="B180" s="79" t="s">
        <v>195</v>
      </c>
    </row>
    <row r="181" spans="1:2" ht="12.75">
      <c r="A181" t="s">
        <v>85</v>
      </c>
      <c r="B181" s="112" t="s">
        <v>86</v>
      </c>
    </row>
    <row r="182" spans="2:3" ht="15.75">
      <c r="B182" s="112" t="s">
        <v>87</v>
      </c>
      <c r="C182" s="112" t="s">
        <v>88</v>
      </c>
    </row>
    <row r="183" ht="12.75">
      <c r="B183" s="112"/>
    </row>
    <row r="184" spans="1:2" ht="12.75">
      <c r="A184" t="s">
        <v>153</v>
      </c>
      <c r="B184" s="112" t="s">
        <v>90</v>
      </c>
    </row>
    <row r="185" spans="1:2" ht="12.75">
      <c r="A185" t="s">
        <v>183</v>
      </c>
      <c r="B185" s="112"/>
    </row>
    <row r="186" ht="12.75">
      <c r="B186" s="73" t="s">
        <v>184</v>
      </c>
    </row>
    <row r="187" spans="1:2" ht="12.75">
      <c r="A187" t="s">
        <v>116</v>
      </c>
      <c r="B187" s="164" t="s">
        <v>187</v>
      </c>
    </row>
    <row r="188" ht="12.75">
      <c r="B188" s="112" t="s">
        <v>185</v>
      </c>
    </row>
    <row r="189" spans="1:2" ht="12.75">
      <c r="A189" t="s">
        <v>91</v>
      </c>
      <c r="B189" s="112" t="s">
        <v>117</v>
      </c>
    </row>
    <row r="190" ht="15.75">
      <c r="B190" s="112" t="s">
        <v>92</v>
      </c>
    </row>
    <row r="191" ht="12.75">
      <c r="A191" t="s">
        <v>108</v>
      </c>
    </row>
  </sheetData>
  <hyperlinks>
    <hyperlink ref="C179" r:id="rId1" display="http://www.newsroom.barclays.co.uk/imagelibrary/detail.asp?MediaDetailsID=4633"/>
  </hyperlinks>
  <printOptions/>
  <pageMargins left="0.3937007874015748" right="0.3937007874015748" top="0.7086614173228347" bottom="0.5905511811023623" header="0.3937007874015748" footer="0.31496062992125984"/>
  <pageSetup horizontalDpi="600" verticalDpi="600" orientation="landscape" paperSize="9" scale="53" r:id="rId2"/>
  <rowBreaks count="2" manualBreakCount="2">
    <brk id="64" max="25" man="1"/>
    <brk id="12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D192"/>
  <sheetViews>
    <sheetView zoomScale="40" zoomScaleNormal="40" workbookViewId="0" topLeftCell="A1">
      <selection activeCell="AA33" sqref="AA33:AA55"/>
    </sheetView>
  </sheetViews>
  <sheetFormatPr defaultColWidth="9.140625" defaultRowHeight="12.75"/>
  <cols>
    <col min="1" max="1" width="12.7109375" style="0" customWidth="1"/>
    <col min="2" max="2" width="18.7109375" style="0" customWidth="1"/>
    <col min="3" max="10" width="11.7109375" style="0" customWidth="1"/>
    <col min="11" max="12" width="9.7109375" style="0" customWidth="1"/>
    <col min="13" max="13" width="8.7109375" style="0" customWidth="1"/>
    <col min="14" max="17" width="9.7109375" style="0" customWidth="1"/>
    <col min="18" max="18" width="8.7109375" style="0" customWidth="1"/>
    <col min="19" max="20" width="9.7109375" style="0" customWidth="1"/>
    <col min="21" max="21" width="8.7109375" style="0" customWidth="1"/>
    <col min="22" max="22" width="9.7109375" style="0" customWidth="1"/>
    <col min="23" max="25" width="8.7109375" style="0" customWidth="1"/>
    <col min="26" max="26" width="2.7109375" style="0" customWidth="1"/>
    <col min="27" max="16384" width="11.57421875" style="0" customWidth="1"/>
  </cols>
  <sheetData>
    <row r="1" ht="12.75">
      <c r="D1" s="6" t="s">
        <v>45</v>
      </c>
    </row>
    <row r="3" ht="12.75">
      <c r="D3" s="1"/>
    </row>
    <row r="4" spans="2:26" ht="12.75">
      <c r="B4" s="7"/>
      <c r="C4" s="8"/>
      <c r="D4" s="9">
        <v>100000</v>
      </c>
      <c r="E4" s="10" t="s">
        <v>57</v>
      </c>
      <c r="F4" s="8"/>
      <c r="G4" s="8"/>
      <c r="H4" s="8"/>
      <c r="I4" s="8"/>
      <c r="J4" s="8"/>
      <c r="K4" s="11"/>
      <c r="M4" s="34"/>
      <c r="N4" s="40" t="s">
        <v>28</v>
      </c>
      <c r="O4" s="30"/>
      <c r="P4" s="11"/>
      <c r="Q4" s="7"/>
      <c r="R4" s="30" t="s">
        <v>21</v>
      </c>
      <c r="S4" s="11"/>
      <c r="T4" s="7"/>
      <c r="U4" s="30" t="s">
        <v>24</v>
      </c>
      <c r="V4" s="11"/>
      <c r="W4" s="7"/>
      <c r="X4" s="30" t="s">
        <v>39</v>
      </c>
      <c r="Y4" s="11"/>
      <c r="Z4" s="2"/>
    </row>
    <row r="5" spans="2:26" ht="12.75">
      <c r="B5" s="12"/>
      <c r="C5" s="2"/>
      <c r="D5" s="2"/>
      <c r="E5" s="2"/>
      <c r="F5" s="2"/>
      <c r="G5" s="2"/>
      <c r="H5" s="2"/>
      <c r="I5" s="2"/>
      <c r="J5" s="2"/>
      <c r="K5" s="13"/>
      <c r="M5" s="37"/>
      <c r="N5" s="38" t="s">
        <v>29</v>
      </c>
      <c r="O5" s="38"/>
      <c r="P5" s="39"/>
      <c r="Q5" s="12"/>
      <c r="R5" s="38" t="s">
        <v>29</v>
      </c>
      <c r="S5" s="13"/>
      <c r="T5" s="12"/>
      <c r="U5" s="38" t="s">
        <v>29</v>
      </c>
      <c r="V5" s="13"/>
      <c r="W5" s="12"/>
      <c r="X5" s="38" t="s">
        <v>29</v>
      </c>
      <c r="Y5" s="13"/>
      <c r="Z5" s="2"/>
    </row>
    <row r="6" spans="2:26" ht="12.75">
      <c r="B6" s="56" t="s">
        <v>11</v>
      </c>
      <c r="C6" s="58" t="s">
        <v>40</v>
      </c>
      <c r="D6" s="58" t="s">
        <v>32</v>
      </c>
      <c r="E6" s="58" t="s">
        <v>46</v>
      </c>
      <c r="F6" s="58" t="s">
        <v>33</v>
      </c>
      <c r="G6" s="58" t="s">
        <v>17</v>
      </c>
      <c r="H6" s="58" t="s">
        <v>34</v>
      </c>
      <c r="I6" s="58" t="s">
        <v>36</v>
      </c>
      <c r="J6" s="58" t="s">
        <v>42</v>
      </c>
      <c r="K6" s="59" t="s">
        <v>18</v>
      </c>
      <c r="L6" s="23"/>
      <c r="M6" s="57" t="s">
        <v>37</v>
      </c>
      <c r="N6" s="58" t="s">
        <v>22</v>
      </c>
      <c r="O6" s="58" t="s">
        <v>23</v>
      </c>
      <c r="P6" s="60" t="s">
        <v>38</v>
      </c>
      <c r="Q6" s="61" t="s">
        <v>22</v>
      </c>
      <c r="R6" s="62" t="s">
        <v>23</v>
      </c>
      <c r="S6" s="60" t="s">
        <v>38</v>
      </c>
      <c r="T6" s="61" t="s">
        <v>25</v>
      </c>
      <c r="U6" s="62" t="s">
        <v>26</v>
      </c>
      <c r="V6" s="60" t="s">
        <v>47</v>
      </c>
      <c r="W6" s="61" t="s">
        <v>25</v>
      </c>
      <c r="X6" s="62" t="s">
        <v>26</v>
      </c>
      <c r="Y6" s="60" t="s">
        <v>47</v>
      </c>
      <c r="Z6" s="24"/>
    </row>
    <row r="7" spans="2:26" ht="12.75">
      <c r="B7" s="14" t="s">
        <v>12</v>
      </c>
      <c r="C7" s="15">
        <v>6000</v>
      </c>
      <c r="D7" s="16" t="s">
        <v>43</v>
      </c>
      <c r="E7" s="15">
        <v>1400</v>
      </c>
      <c r="F7" s="15">
        <f>D4*0.022</f>
        <v>2200</v>
      </c>
      <c r="G7" s="15">
        <f>D4*0.035</f>
        <v>3500.0000000000005</v>
      </c>
      <c r="H7" s="80">
        <f>SUM(C7:G7)</f>
        <v>13100</v>
      </c>
      <c r="I7" s="15">
        <f>SUM(C7:F7)</f>
        <v>9600</v>
      </c>
      <c r="J7" s="15">
        <f>SUM(C7:E7)</f>
        <v>7400</v>
      </c>
      <c r="K7" s="83">
        <v>0.2</v>
      </c>
      <c r="L7" s="4"/>
      <c r="M7" s="35">
        <f>H7/100000</f>
        <v>0.131</v>
      </c>
      <c r="N7" s="33">
        <f>G7/100000</f>
        <v>0.035</v>
      </c>
      <c r="O7" s="33">
        <f>F7/100000</f>
        <v>0.022</v>
      </c>
      <c r="P7" s="36">
        <f>J7/100000</f>
        <v>0.074</v>
      </c>
      <c r="Q7" s="26">
        <f>G7/H7</f>
        <v>0.267175572519084</v>
      </c>
      <c r="R7" s="27">
        <f>F7/H7</f>
        <v>0.16793893129770993</v>
      </c>
      <c r="S7" s="28">
        <f>J7/H7</f>
        <v>0.5648854961832062</v>
      </c>
      <c r="T7" s="26">
        <f>C7/J7</f>
        <v>0.8108108108108109</v>
      </c>
      <c r="U7" s="27"/>
      <c r="V7" s="28">
        <f>E7/J7</f>
        <v>0.1891891891891892</v>
      </c>
      <c r="W7" s="26">
        <f>C7/100000</f>
        <v>0.06</v>
      </c>
      <c r="X7" s="27"/>
      <c r="Y7" s="28">
        <f>E7/100000</f>
        <v>0.014</v>
      </c>
      <c r="Z7" s="27"/>
    </row>
    <row r="8" spans="2:26" ht="15.75">
      <c r="B8" s="14" t="s">
        <v>13</v>
      </c>
      <c r="C8" s="15">
        <f>D4*0.03</f>
        <v>3000</v>
      </c>
      <c r="D8" s="16" t="s">
        <v>43</v>
      </c>
      <c r="E8" s="15">
        <f>1593.66+561.38</f>
        <v>2155.04</v>
      </c>
      <c r="F8" s="15">
        <f>330+250</f>
        <v>580</v>
      </c>
      <c r="G8" s="15">
        <f>D4*0.115+1100</f>
        <v>12600</v>
      </c>
      <c r="H8" s="81">
        <f aca="true" t="shared" si="0" ref="H8:H26">SUM(C8:G8)</f>
        <v>18335.04</v>
      </c>
      <c r="I8" s="15">
        <f aca="true" t="shared" si="1" ref="I8:I26">SUM(C8:F8)</f>
        <v>5735.04</v>
      </c>
      <c r="J8" s="15">
        <f aca="true" t="shared" si="2" ref="J8:J26">SUM(C8:E8)</f>
        <v>5155.04</v>
      </c>
      <c r="K8" s="84">
        <v>0.21</v>
      </c>
      <c r="L8" s="5"/>
      <c r="M8" s="35">
        <f aca="true" t="shared" si="3" ref="M8:M26">H8/100000</f>
        <v>0.1833504</v>
      </c>
      <c r="N8" s="33">
        <f aca="true" t="shared" si="4" ref="N8:N26">G8/100000</f>
        <v>0.126</v>
      </c>
      <c r="O8" s="33">
        <f aca="true" t="shared" si="5" ref="O8:O26">F8/100000</f>
        <v>0.0058</v>
      </c>
      <c r="P8" s="36">
        <f aca="true" t="shared" si="6" ref="P8:P26">J8/100000</f>
        <v>0.051550399999999996</v>
      </c>
      <c r="Q8" s="26">
        <f aca="true" t="shared" si="7" ref="Q8:Q26">G8/H8</f>
        <v>0.6872087543850462</v>
      </c>
      <c r="R8" s="27">
        <f aca="true" t="shared" si="8" ref="R8:R26">F8/H8</f>
        <v>0.031633418852644986</v>
      </c>
      <c r="S8" s="28">
        <f aca="true" t="shared" si="9" ref="S8:S26">J8/H8</f>
        <v>0.28115782676230866</v>
      </c>
      <c r="T8" s="26">
        <f aca="true" t="shared" si="10" ref="T8:T26">C8/J8</f>
        <v>0.5819547471988579</v>
      </c>
      <c r="U8" s="27"/>
      <c r="V8" s="28">
        <f aca="true" t="shared" si="11" ref="V8:V26">E8/J8</f>
        <v>0.4180452528011422</v>
      </c>
      <c r="W8" s="26">
        <f aca="true" t="shared" si="12" ref="W8:W26">C8/100000</f>
        <v>0.03</v>
      </c>
      <c r="X8" s="27"/>
      <c r="Y8" s="28">
        <f aca="true" t="shared" si="13" ref="Y8:Y26">E8/100000</f>
        <v>0.0215504</v>
      </c>
      <c r="Z8" s="27"/>
    </row>
    <row r="9" spans="2:26" ht="15.75">
      <c r="B9" s="14" t="s">
        <v>154</v>
      </c>
      <c r="C9" s="15">
        <v>5000</v>
      </c>
      <c r="D9" s="16">
        <v>350</v>
      </c>
      <c r="E9" s="15">
        <v>1000</v>
      </c>
      <c r="F9" s="15">
        <v>17</v>
      </c>
      <c r="G9" s="15">
        <v>0</v>
      </c>
      <c r="H9" s="81">
        <f>SUM(C9:G9)</f>
        <v>6367</v>
      </c>
      <c r="I9" s="15">
        <f t="shared" si="1"/>
        <v>6367</v>
      </c>
      <c r="J9" s="15">
        <f t="shared" si="2"/>
        <v>6350</v>
      </c>
      <c r="K9" s="84">
        <v>0.19</v>
      </c>
      <c r="L9" s="5"/>
      <c r="M9" s="35">
        <f>H9/100000</f>
        <v>0.06367</v>
      </c>
      <c r="N9" s="33">
        <f>G9/100000</f>
        <v>0</v>
      </c>
      <c r="O9" s="33">
        <f>F9/100000</f>
        <v>0.00017</v>
      </c>
      <c r="P9" s="36">
        <f>J9/100000</f>
        <v>0.0635</v>
      </c>
      <c r="Q9" s="26">
        <f>G9/H9</f>
        <v>0</v>
      </c>
      <c r="R9" s="27">
        <f>F9/H9</f>
        <v>0.002670017276582378</v>
      </c>
      <c r="S9" s="28">
        <f>J9/H9</f>
        <v>0.9973299827234177</v>
      </c>
      <c r="T9" s="26">
        <f>C9/J9</f>
        <v>0.7874015748031497</v>
      </c>
      <c r="U9" s="27">
        <f>D9/J9</f>
        <v>0.05511811023622047</v>
      </c>
      <c r="V9" s="28">
        <f>E9/J9</f>
        <v>0.15748031496062992</v>
      </c>
      <c r="W9" s="74">
        <f>C9/100000</f>
        <v>0.05</v>
      </c>
      <c r="X9" s="27">
        <f>D9/100000</f>
        <v>0.0035</v>
      </c>
      <c r="Y9" s="75">
        <f>E9/100000</f>
        <v>0.01</v>
      </c>
      <c r="Z9" s="27"/>
    </row>
    <row r="10" spans="2:26" ht="15.75">
      <c r="B10" s="12" t="s">
        <v>14</v>
      </c>
      <c r="C10" s="18">
        <v>4147</v>
      </c>
      <c r="D10" s="18">
        <v>1020</v>
      </c>
      <c r="E10" s="18">
        <v>1013</v>
      </c>
      <c r="F10" s="18">
        <f>787+1687</f>
        <v>2474</v>
      </c>
      <c r="G10" s="18">
        <v>0</v>
      </c>
      <c r="H10" s="81">
        <f t="shared" si="0"/>
        <v>8654</v>
      </c>
      <c r="I10" s="15">
        <f t="shared" si="1"/>
        <v>8654</v>
      </c>
      <c r="J10" s="15">
        <f t="shared" si="2"/>
        <v>6180</v>
      </c>
      <c r="K10" s="84">
        <v>0.25</v>
      </c>
      <c r="L10" s="5"/>
      <c r="M10" s="35">
        <f t="shared" si="3"/>
        <v>0.08654</v>
      </c>
      <c r="N10" s="33">
        <f t="shared" si="4"/>
        <v>0</v>
      </c>
      <c r="O10" s="33">
        <f t="shared" si="5"/>
        <v>0.02474</v>
      </c>
      <c r="P10" s="36">
        <f t="shared" si="6"/>
        <v>0.0618</v>
      </c>
      <c r="Q10" s="26">
        <f t="shared" si="7"/>
        <v>0</v>
      </c>
      <c r="R10" s="27">
        <f t="shared" si="8"/>
        <v>0.28587936214467297</v>
      </c>
      <c r="S10" s="28">
        <f t="shared" si="9"/>
        <v>0.714120637855327</v>
      </c>
      <c r="T10" s="44">
        <f t="shared" si="10"/>
        <v>0.6710355987055017</v>
      </c>
      <c r="U10" s="27">
        <f>D10/J10</f>
        <v>0.1650485436893204</v>
      </c>
      <c r="V10" s="45">
        <f t="shared" si="11"/>
        <v>0.163915857605178</v>
      </c>
      <c r="W10" s="44">
        <f t="shared" si="12"/>
        <v>0.04147</v>
      </c>
      <c r="X10" s="27">
        <f>D10/100000</f>
        <v>0.0102</v>
      </c>
      <c r="Y10" s="45">
        <f t="shared" si="13"/>
        <v>0.01013</v>
      </c>
      <c r="Z10" s="55"/>
    </row>
    <row r="11" spans="2:26" ht="15.75">
      <c r="B11" s="12" t="s">
        <v>0</v>
      </c>
      <c r="C11" s="18">
        <v>1651</v>
      </c>
      <c r="D11" s="18">
        <f>460*1.5</f>
        <v>690</v>
      </c>
      <c r="E11" s="18">
        <v>1090</v>
      </c>
      <c r="F11" s="18">
        <f>60*1.5</f>
        <v>90</v>
      </c>
      <c r="G11" s="18">
        <v>0</v>
      </c>
      <c r="H11" s="81">
        <f t="shared" si="0"/>
        <v>3521</v>
      </c>
      <c r="I11" s="15">
        <f t="shared" si="1"/>
        <v>3521</v>
      </c>
      <c r="J11" s="15">
        <f t="shared" si="2"/>
        <v>3431</v>
      </c>
      <c r="K11" s="84">
        <v>0.175</v>
      </c>
      <c r="L11" s="5"/>
      <c r="M11" s="35">
        <f t="shared" si="3"/>
        <v>0.03521</v>
      </c>
      <c r="N11" s="33">
        <f t="shared" si="4"/>
        <v>0</v>
      </c>
      <c r="O11" s="33">
        <f t="shared" si="5"/>
        <v>0.0009</v>
      </c>
      <c r="P11" s="36">
        <f t="shared" si="6"/>
        <v>0.03431</v>
      </c>
      <c r="Q11" s="26">
        <f t="shared" si="7"/>
        <v>0</v>
      </c>
      <c r="R11" s="27">
        <f t="shared" si="8"/>
        <v>0.025560920193126953</v>
      </c>
      <c r="S11" s="28">
        <f t="shared" si="9"/>
        <v>0.974439079806873</v>
      </c>
      <c r="T11" s="26">
        <f t="shared" si="10"/>
        <v>0.48120081608860393</v>
      </c>
      <c r="U11" s="27">
        <f>D11/J11</f>
        <v>0.20110754881958612</v>
      </c>
      <c r="V11" s="28">
        <f t="shared" si="11"/>
        <v>0.31769163509181</v>
      </c>
      <c r="W11" s="26">
        <f t="shared" si="12"/>
        <v>0.01651</v>
      </c>
      <c r="X11" s="27">
        <f>D11/100000</f>
        <v>0.0069</v>
      </c>
      <c r="Y11" s="28">
        <f t="shared" si="13"/>
        <v>0.0109</v>
      </c>
      <c r="Z11" s="27"/>
    </row>
    <row r="12" spans="2:26" ht="15.75">
      <c r="B12" s="12" t="s">
        <v>1</v>
      </c>
      <c r="C12" s="18">
        <f>D4*0.03125</f>
        <v>3125</v>
      </c>
      <c r="D12" s="18">
        <v>600</v>
      </c>
      <c r="E12" s="18">
        <f>353.2+77</f>
        <v>430.2</v>
      </c>
      <c r="F12" s="18">
        <f>65+44</f>
        <v>109</v>
      </c>
      <c r="G12" s="18">
        <v>4000</v>
      </c>
      <c r="H12" s="81">
        <f t="shared" si="0"/>
        <v>8264.2</v>
      </c>
      <c r="I12" s="15">
        <f t="shared" si="1"/>
        <v>4264.2</v>
      </c>
      <c r="J12" s="15">
        <f t="shared" si="2"/>
        <v>4155.2</v>
      </c>
      <c r="K12" s="84">
        <v>0.28</v>
      </c>
      <c r="L12" s="5"/>
      <c r="M12" s="35">
        <f t="shared" si="3"/>
        <v>0.08264200000000001</v>
      </c>
      <c r="N12" s="33">
        <f t="shared" si="4"/>
        <v>0.04</v>
      </c>
      <c r="O12" s="33">
        <f t="shared" si="5"/>
        <v>0.00109</v>
      </c>
      <c r="P12" s="36">
        <f t="shared" si="6"/>
        <v>0.041552</v>
      </c>
      <c r="Q12" s="26">
        <f t="shared" si="7"/>
        <v>0.4840153916894557</v>
      </c>
      <c r="R12" s="27">
        <f t="shared" si="8"/>
        <v>0.013189419423537668</v>
      </c>
      <c r="S12" s="28">
        <f t="shared" si="9"/>
        <v>0.5027951888870066</v>
      </c>
      <c r="T12" s="44">
        <f t="shared" si="10"/>
        <v>0.7520696958028494</v>
      </c>
      <c r="U12" s="27">
        <f>D12/J12</f>
        <v>0.1443973815941471</v>
      </c>
      <c r="V12" s="45">
        <f t="shared" si="11"/>
        <v>0.10353292260300347</v>
      </c>
      <c r="W12" s="44">
        <f t="shared" si="12"/>
        <v>0.03125</v>
      </c>
      <c r="X12" s="27">
        <f>D12/100000</f>
        <v>0.006</v>
      </c>
      <c r="Y12" s="45">
        <f t="shared" si="13"/>
        <v>0.004302</v>
      </c>
      <c r="Z12" s="55"/>
    </row>
    <row r="13" spans="2:26" ht="15.75">
      <c r="B13" s="12" t="s">
        <v>2</v>
      </c>
      <c r="C13" s="18">
        <f>D4*0.08</f>
        <v>8000</v>
      </c>
      <c r="D13" s="16">
        <v>500</v>
      </c>
      <c r="E13" s="18">
        <v>1538.33</v>
      </c>
      <c r="F13" s="18">
        <f>D4*0.0015</f>
        <v>150</v>
      </c>
      <c r="G13" s="18">
        <f>D4*0.0506</f>
        <v>5060</v>
      </c>
      <c r="H13" s="81">
        <f t="shared" si="0"/>
        <v>15248.33</v>
      </c>
      <c r="I13" s="15">
        <f t="shared" si="1"/>
        <v>10188.33</v>
      </c>
      <c r="J13" s="15">
        <f t="shared" si="2"/>
        <v>10038.33</v>
      </c>
      <c r="K13" s="84">
        <v>0.196</v>
      </c>
      <c r="L13" s="5"/>
      <c r="M13" s="35">
        <f t="shared" si="3"/>
        <v>0.1524833</v>
      </c>
      <c r="N13" s="33">
        <f t="shared" si="4"/>
        <v>0.0506</v>
      </c>
      <c r="O13" s="33">
        <f t="shared" si="5"/>
        <v>0.0015</v>
      </c>
      <c r="P13" s="36">
        <f t="shared" si="6"/>
        <v>0.1003833</v>
      </c>
      <c r="Q13" s="26">
        <f t="shared" si="7"/>
        <v>0.33183961784667565</v>
      </c>
      <c r="R13" s="27">
        <f t="shared" si="8"/>
        <v>0.009837142821541769</v>
      </c>
      <c r="S13" s="28">
        <f t="shared" si="9"/>
        <v>0.6583232393317826</v>
      </c>
      <c r="T13" s="26">
        <f t="shared" si="10"/>
        <v>0.7969453086320135</v>
      </c>
      <c r="U13" s="27">
        <f>D13/J13</f>
        <v>0.049809081789500845</v>
      </c>
      <c r="V13" s="28">
        <f t="shared" si="11"/>
        <v>0.15324560957848565</v>
      </c>
      <c r="W13" s="26">
        <f t="shared" si="12"/>
        <v>0.08</v>
      </c>
      <c r="X13" s="27">
        <f>D13/100000</f>
        <v>0.005</v>
      </c>
      <c r="Y13" s="28">
        <f t="shared" si="13"/>
        <v>0.015383299999999999</v>
      </c>
      <c r="Z13" s="27"/>
    </row>
    <row r="14" spans="2:26" ht="15.75">
      <c r="B14" s="12" t="s">
        <v>3</v>
      </c>
      <c r="C14" s="18">
        <f>D4*0.04</f>
        <v>4000</v>
      </c>
      <c r="D14" s="16" t="s">
        <v>43</v>
      </c>
      <c r="E14" s="18">
        <f>683+123</f>
        <v>806</v>
      </c>
      <c r="F14" s="18">
        <v>517</v>
      </c>
      <c r="G14" s="18">
        <f>D4*0.035</f>
        <v>3500.0000000000005</v>
      </c>
      <c r="H14" s="81">
        <f t="shared" si="0"/>
        <v>8823</v>
      </c>
      <c r="I14" s="15">
        <f t="shared" si="1"/>
        <v>5323</v>
      </c>
      <c r="J14" s="15">
        <f t="shared" si="2"/>
        <v>4806</v>
      </c>
      <c r="K14" s="84">
        <v>0.16</v>
      </c>
      <c r="L14" s="5"/>
      <c r="M14" s="35">
        <f t="shared" si="3"/>
        <v>0.08823</v>
      </c>
      <c r="N14" s="33">
        <f t="shared" si="4"/>
        <v>0.035</v>
      </c>
      <c r="O14" s="33">
        <f t="shared" si="5"/>
        <v>0.00517</v>
      </c>
      <c r="P14" s="36">
        <f t="shared" si="6"/>
        <v>0.04806</v>
      </c>
      <c r="Q14" s="26">
        <f t="shared" si="7"/>
        <v>0.3966904680947524</v>
      </c>
      <c r="R14" s="27">
        <f t="shared" si="8"/>
        <v>0.05859684914428199</v>
      </c>
      <c r="S14" s="28">
        <f t="shared" si="9"/>
        <v>0.5447126827609656</v>
      </c>
      <c r="T14" s="26">
        <f t="shared" si="10"/>
        <v>0.8322929671244278</v>
      </c>
      <c r="U14" s="27"/>
      <c r="V14" s="28">
        <f t="shared" si="11"/>
        <v>0.1677070328755722</v>
      </c>
      <c r="W14" s="26">
        <f t="shared" si="12"/>
        <v>0.04</v>
      </c>
      <c r="X14" s="27"/>
      <c r="Y14" s="28">
        <f t="shared" si="13"/>
        <v>0.00806</v>
      </c>
      <c r="Z14" s="27"/>
    </row>
    <row r="15" spans="2:26" ht="15.75">
      <c r="B15" s="12" t="s">
        <v>15</v>
      </c>
      <c r="C15" s="18">
        <f>D4*0.04</f>
        <v>4000</v>
      </c>
      <c r="D15" s="18">
        <v>500</v>
      </c>
      <c r="E15" s="18">
        <f>1400+1440+500</f>
        <v>3340</v>
      </c>
      <c r="F15" s="18">
        <f>490+790</f>
        <v>1280</v>
      </c>
      <c r="G15" s="18">
        <v>11020</v>
      </c>
      <c r="H15" s="81">
        <f t="shared" si="0"/>
        <v>20140</v>
      </c>
      <c r="I15" s="15">
        <f t="shared" si="1"/>
        <v>9120</v>
      </c>
      <c r="J15" s="15">
        <f t="shared" si="2"/>
        <v>7840</v>
      </c>
      <c r="K15" s="84">
        <v>0.19</v>
      </c>
      <c r="L15" s="5"/>
      <c r="M15" s="35">
        <f>H15/100000</f>
        <v>0.2014</v>
      </c>
      <c r="N15" s="33">
        <f>G15/100000</f>
        <v>0.1102</v>
      </c>
      <c r="O15" s="33">
        <f>F15/100000</f>
        <v>0.0128</v>
      </c>
      <c r="P15" s="36">
        <f>J15/100000</f>
        <v>0.0784</v>
      </c>
      <c r="Q15" s="26">
        <f>G15/H15</f>
        <v>0.5471698113207547</v>
      </c>
      <c r="R15" s="27">
        <f>F15/H15</f>
        <v>0.06355511420059583</v>
      </c>
      <c r="S15" s="28">
        <f>J15/H15</f>
        <v>0.38927507447864945</v>
      </c>
      <c r="T15" s="26">
        <f>C15/J15</f>
        <v>0.5102040816326531</v>
      </c>
      <c r="U15" s="27">
        <f>D15/J15</f>
        <v>0.06377551020408163</v>
      </c>
      <c r="V15" s="28">
        <f>E15/J15</f>
        <v>0.4260204081632653</v>
      </c>
      <c r="W15" s="26">
        <f>C15/100000</f>
        <v>0.04</v>
      </c>
      <c r="X15" s="27">
        <f>D15/100000</f>
        <v>0.005</v>
      </c>
      <c r="Y15" s="28">
        <f>E15/100000</f>
        <v>0.0334</v>
      </c>
      <c r="Z15" s="27"/>
    </row>
    <row r="16" spans="2:26" ht="15.75">
      <c r="B16" s="12" t="s">
        <v>19</v>
      </c>
      <c r="C16" s="18">
        <f>0.04*D4</f>
        <v>4000</v>
      </c>
      <c r="D16" s="16" t="s">
        <v>43</v>
      </c>
      <c r="E16" s="18">
        <v>2040</v>
      </c>
      <c r="F16" s="18">
        <f>18+44</f>
        <v>62</v>
      </c>
      <c r="G16" s="18">
        <v>5420</v>
      </c>
      <c r="H16" s="81">
        <f>SUM(C16:G16)</f>
        <v>11522</v>
      </c>
      <c r="I16" s="15">
        <f>SUM(C16:F16)</f>
        <v>6102</v>
      </c>
      <c r="J16" s="15">
        <f>SUM(C16:E16)</f>
        <v>6040</v>
      </c>
      <c r="K16" s="84">
        <v>0.2</v>
      </c>
      <c r="L16" s="5"/>
      <c r="M16" s="35">
        <f t="shared" si="3"/>
        <v>0.11522</v>
      </c>
      <c r="N16" s="33">
        <f t="shared" si="4"/>
        <v>0.0542</v>
      </c>
      <c r="O16" s="33">
        <f t="shared" si="5"/>
        <v>0.00062</v>
      </c>
      <c r="P16" s="36">
        <f t="shared" si="6"/>
        <v>0.0604</v>
      </c>
      <c r="Q16" s="26">
        <f t="shared" si="7"/>
        <v>0.47040444367297346</v>
      </c>
      <c r="R16" s="27">
        <f t="shared" si="8"/>
        <v>0.005381010241277556</v>
      </c>
      <c r="S16" s="28">
        <f t="shared" si="9"/>
        <v>0.524214546085749</v>
      </c>
      <c r="T16" s="26">
        <f t="shared" si="10"/>
        <v>0.6622516556291391</v>
      </c>
      <c r="U16" s="27"/>
      <c r="V16" s="28">
        <f t="shared" si="11"/>
        <v>0.33774834437086093</v>
      </c>
      <c r="W16" s="26">
        <f>C16/100000</f>
        <v>0.04</v>
      </c>
      <c r="X16" s="27"/>
      <c r="Y16" s="28">
        <f>E16/100000</f>
        <v>0.0204</v>
      </c>
      <c r="Z16" s="27"/>
    </row>
    <row r="17" spans="2:26" ht="15.75">
      <c r="B17" s="12" t="s">
        <v>4</v>
      </c>
      <c r="C17" s="18">
        <v>2000</v>
      </c>
      <c r="D17" s="18">
        <v>500</v>
      </c>
      <c r="E17" s="18">
        <v>1000</v>
      </c>
      <c r="F17" s="18">
        <v>375</v>
      </c>
      <c r="G17" s="18">
        <v>0</v>
      </c>
      <c r="H17" s="81">
        <f t="shared" si="0"/>
        <v>3875</v>
      </c>
      <c r="I17" s="15">
        <f t="shared" si="1"/>
        <v>3875</v>
      </c>
      <c r="J17" s="15">
        <f t="shared" si="2"/>
        <v>3500</v>
      </c>
      <c r="K17" s="84">
        <v>0.21</v>
      </c>
      <c r="L17" s="5"/>
      <c r="M17" s="35">
        <f>H17/100000</f>
        <v>0.03875</v>
      </c>
      <c r="N17" s="33">
        <f>G17/100000</f>
        <v>0</v>
      </c>
      <c r="O17" s="33">
        <f>F17/100000</f>
        <v>0.00375</v>
      </c>
      <c r="P17" s="36">
        <f>J17/100000</f>
        <v>0.035</v>
      </c>
      <c r="Q17" s="26">
        <f>G17/H17</f>
        <v>0</v>
      </c>
      <c r="R17" s="27">
        <f>F17/H17</f>
        <v>0.0967741935483871</v>
      </c>
      <c r="S17" s="28">
        <f>J17/H17</f>
        <v>0.9032258064516129</v>
      </c>
      <c r="T17" s="26">
        <f>C17/J17</f>
        <v>0.5714285714285714</v>
      </c>
      <c r="U17" s="27">
        <f>D17/J17</f>
        <v>0.14285714285714285</v>
      </c>
      <c r="V17" s="28">
        <f>E17/J17</f>
        <v>0.2857142857142857</v>
      </c>
      <c r="W17" s="26">
        <f>C17/100000</f>
        <v>0.02</v>
      </c>
      <c r="X17" s="27">
        <f>D17/100000</f>
        <v>0.005</v>
      </c>
      <c r="Y17" s="28">
        <f>E17/100000</f>
        <v>0.01</v>
      </c>
      <c r="Z17" s="27"/>
    </row>
    <row r="18" spans="2:26" ht="15.75">
      <c r="B18" s="12" t="s">
        <v>5</v>
      </c>
      <c r="C18" s="18">
        <f>0.06*D4</f>
        <v>6000</v>
      </c>
      <c r="D18" s="16" t="s">
        <v>43</v>
      </c>
      <c r="E18" s="18">
        <f>1500+1170</f>
        <v>2670</v>
      </c>
      <c r="F18" s="18">
        <f>90+35+24.71</f>
        <v>149.71</v>
      </c>
      <c r="G18" s="18">
        <f>(D4/2*0.03)+2*168+230</f>
        <v>2066</v>
      </c>
      <c r="H18" s="81">
        <f t="shared" si="0"/>
        <v>10885.71</v>
      </c>
      <c r="I18" s="15">
        <f t="shared" si="1"/>
        <v>8819.71</v>
      </c>
      <c r="J18" s="15">
        <f t="shared" si="2"/>
        <v>8670</v>
      </c>
      <c r="K18" s="84">
        <v>0.2</v>
      </c>
      <c r="L18" s="5"/>
      <c r="M18" s="35">
        <f t="shared" si="3"/>
        <v>0.10885709999999998</v>
      </c>
      <c r="N18" s="33">
        <f t="shared" si="4"/>
        <v>0.02066</v>
      </c>
      <c r="O18" s="33">
        <f t="shared" si="5"/>
        <v>0.0014971000000000001</v>
      </c>
      <c r="P18" s="36">
        <f t="shared" si="6"/>
        <v>0.0867</v>
      </c>
      <c r="Q18" s="26">
        <f t="shared" si="7"/>
        <v>0.18979010096723137</v>
      </c>
      <c r="R18" s="27">
        <f t="shared" si="8"/>
        <v>0.01375289255363224</v>
      </c>
      <c r="S18" s="28">
        <f t="shared" si="9"/>
        <v>0.7964570064791364</v>
      </c>
      <c r="T18" s="26">
        <f t="shared" si="10"/>
        <v>0.6920415224913494</v>
      </c>
      <c r="U18" s="27"/>
      <c r="V18" s="28">
        <f t="shared" si="11"/>
        <v>0.3079584775086505</v>
      </c>
      <c r="W18" s="26">
        <f t="shared" si="12"/>
        <v>0.06</v>
      </c>
      <c r="X18" s="27"/>
      <c r="Y18" s="28">
        <f t="shared" si="13"/>
        <v>0.0267</v>
      </c>
      <c r="Z18" s="27"/>
    </row>
    <row r="19" spans="2:26" ht="15.75">
      <c r="B19" s="12" t="s">
        <v>6</v>
      </c>
      <c r="C19" s="18">
        <v>1850</v>
      </c>
      <c r="D19" s="16" t="s">
        <v>43</v>
      </c>
      <c r="E19" s="18">
        <v>1225</v>
      </c>
      <c r="F19" s="18">
        <v>186</v>
      </c>
      <c r="G19" s="18">
        <v>6000</v>
      </c>
      <c r="H19" s="81">
        <f t="shared" si="0"/>
        <v>9261</v>
      </c>
      <c r="I19" s="15">
        <f t="shared" si="1"/>
        <v>3261</v>
      </c>
      <c r="J19" s="15">
        <f t="shared" si="2"/>
        <v>3075</v>
      </c>
      <c r="K19" s="84">
        <v>0.19</v>
      </c>
      <c r="L19" s="5"/>
      <c r="M19" s="35">
        <f>H19/100000</f>
        <v>0.09261</v>
      </c>
      <c r="N19" s="33">
        <f>G19/100000</f>
        <v>0.06</v>
      </c>
      <c r="O19" s="33">
        <f>F19/100000</f>
        <v>0.00186</v>
      </c>
      <c r="P19" s="36">
        <f>J19/100000</f>
        <v>0.03075</v>
      </c>
      <c r="Q19" s="26">
        <f>G19/H19</f>
        <v>0.6478781988986071</v>
      </c>
      <c r="R19" s="27">
        <f>F19/H19</f>
        <v>0.02008422416585682</v>
      </c>
      <c r="S19" s="28">
        <f>J19/H19</f>
        <v>0.3320375769355361</v>
      </c>
      <c r="T19" s="26">
        <f>C19/J19</f>
        <v>0.6016260162601627</v>
      </c>
      <c r="U19" s="27"/>
      <c r="V19" s="28">
        <f>E19/J19</f>
        <v>0.3983739837398374</v>
      </c>
      <c r="W19" s="26">
        <f>C19/100000</f>
        <v>0.0185</v>
      </c>
      <c r="X19" s="27"/>
      <c r="Y19" s="28">
        <f>E19/100000</f>
        <v>0.01225</v>
      </c>
      <c r="Z19" s="27"/>
    </row>
    <row r="20" spans="2:26" ht="15.75">
      <c r="B20" s="12" t="s">
        <v>7</v>
      </c>
      <c r="C20" s="18">
        <v>2000</v>
      </c>
      <c r="D20" s="16">
        <v>250</v>
      </c>
      <c r="E20" s="18">
        <v>677</v>
      </c>
      <c r="F20" s="18">
        <v>50</v>
      </c>
      <c r="G20" s="18">
        <f>10000+2000+25</f>
        <v>12025</v>
      </c>
      <c r="H20" s="81">
        <f t="shared" si="0"/>
        <v>15002</v>
      </c>
      <c r="I20" s="15">
        <f t="shared" si="1"/>
        <v>2977</v>
      </c>
      <c r="J20" s="15">
        <f t="shared" si="2"/>
        <v>2927</v>
      </c>
      <c r="K20" s="84">
        <v>0.22</v>
      </c>
      <c r="L20" s="5"/>
      <c r="M20" s="35">
        <f t="shared" si="3"/>
        <v>0.15002</v>
      </c>
      <c r="N20" s="33">
        <f t="shared" si="4"/>
        <v>0.12025</v>
      </c>
      <c r="O20" s="33">
        <f t="shared" si="5"/>
        <v>0.0005</v>
      </c>
      <c r="P20" s="36">
        <f t="shared" si="6"/>
        <v>0.02927</v>
      </c>
      <c r="Q20" s="26">
        <f t="shared" si="7"/>
        <v>0.8015597920277296</v>
      </c>
      <c r="R20" s="27">
        <f t="shared" si="8"/>
        <v>0.003332888948140248</v>
      </c>
      <c r="S20" s="28">
        <f t="shared" si="9"/>
        <v>0.19510731902413012</v>
      </c>
      <c r="T20" s="26">
        <f t="shared" si="10"/>
        <v>0.683293474547318</v>
      </c>
      <c r="U20" s="27">
        <f>D20/J20</f>
        <v>0.08541168431841475</v>
      </c>
      <c r="V20" s="28">
        <f t="shared" si="11"/>
        <v>0.23129484113426715</v>
      </c>
      <c r="W20" s="26">
        <f t="shared" si="12"/>
        <v>0.02</v>
      </c>
      <c r="X20" s="27">
        <f>D20/100000</f>
        <v>0.0025</v>
      </c>
      <c r="Y20" s="28">
        <f t="shared" si="13"/>
        <v>0.00677</v>
      </c>
      <c r="Z20" s="27"/>
    </row>
    <row r="21" spans="2:26" ht="15.75">
      <c r="B21" s="12" t="s">
        <v>189</v>
      </c>
      <c r="C21" s="18">
        <v>3750</v>
      </c>
      <c r="D21" s="16">
        <v>275</v>
      </c>
      <c r="E21" s="18">
        <f>325+211.5</f>
        <v>536.5</v>
      </c>
      <c r="F21" s="18">
        <v>260</v>
      </c>
      <c r="G21" s="18">
        <v>1400</v>
      </c>
      <c r="H21" s="81">
        <f>SUM(C21:G21)</f>
        <v>6221.5</v>
      </c>
      <c r="I21" s="15">
        <f>SUM(C21:F21)</f>
        <v>4821.5</v>
      </c>
      <c r="J21" s="15">
        <f>SUM(C21:E21)</f>
        <v>4561.5</v>
      </c>
      <c r="K21" s="84">
        <v>0.21</v>
      </c>
      <c r="L21" s="5"/>
      <c r="M21" s="35">
        <f>H21/100000</f>
        <v>0.062215</v>
      </c>
      <c r="N21" s="33">
        <f>G21/100000</f>
        <v>0.014</v>
      </c>
      <c r="O21" s="33">
        <f>F21/100000</f>
        <v>0.0026</v>
      </c>
      <c r="P21" s="36">
        <f>J21/100000</f>
        <v>0.045615</v>
      </c>
      <c r="Q21" s="26">
        <f>G21/H21</f>
        <v>0.22502611910311018</v>
      </c>
      <c r="R21" s="27">
        <f>F21/H21</f>
        <v>0.04179056497629189</v>
      </c>
      <c r="S21" s="28">
        <f>J21/H21</f>
        <v>0.7331833159205979</v>
      </c>
      <c r="T21" s="26">
        <f>C21/J21</f>
        <v>0.8220979940808945</v>
      </c>
      <c r="U21" s="27">
        <f>D21/J21</f>
        <v>0.060287186232598926</v>
      </c>
      <c r="V21" s="28">
        <f>E21/J21</f>
        <v>0.11761481968650662</v>
      </c>
      <c r="W21" s="26">
        <f>C21/100000</f>
        <v>0.0375</v>
      </c>
      <c r="X21" s="27">
        <f>D21/100000</f>
        <v>0.00275</v>
      </c>
      <c r="Y21" s="28">
        <f>E21/100000</f>
        <v>0.005365</v>
      </c>
      <c r="Z21" s="27"/>
    </row>
    <row r="22" spans="2:26" ht="15.75">
      <c r="B22" s="19" t="s">
        <v>8</v>
      </c>
      <c r="C22" s="18">
        <v>1000</v>
      </c>
      <c r="D22" s="18">
        <v>378</v>
      </c>
      <c r="E22" s="18">
        <v>1482</v>
      </c>
      <c r="F22" s="18">
        <v>261</v>
      </c>
      <c r="G22" s="18">
        <v>0</v>
      </c>
      <c r="H22" s="81">
        <f t="shared" si="0"/>
        <v>3121</v>
      </c>
      <c r="I22" s="15">
        <f t="shared" si="1"/>
        <v>3121</v>
      </c>
      <c r="J22" s="15">
        <f t="shared" si="2"/>
        <v>2860</v>
      </c>
      <c r="K22" s="84">
        <v>0.175</v>
      </c>
      <c r="L22" s="5"/>
      <c r="M22" s="35">
        <f t="shared" si="3"/>
        <v>0.03121</v>
      </c>
      <c r="N22" s="33">
        <f t="shared" si="4"/>
        <v>0</v>
      </c>
      <c r="O22" s="33">
        <f t="shared" si="5"/>
        <v>0.00261</v>
      </c>
      <c r="P22" s="36">
        <f t="shared" si="6"/>
        <v>0.0286</v>
      </c>
      <c r="Q22" s="26">
        <f t="shared" si="7"/>
        <v>0</v>
      </c>
      <c r="R22" s="27">
        <f t="shared" si="8"/>
        <v>0.08362704261454662</v>
      </c>
      <c r="S22" s="28">
        <f t="shared" si="9"/>
        <v>0.9163729573854534</v>
      </c>
      <c r="T22" s="26">
        <f t="shared" si="10"/>
        <v>0.34965034965034963</v>
      </c>
      <c r="U22" s="27">
        <f>D22/J22</f>
        <v>0.13216783216783218</v>
      </c>
      <c r="V22" s="28">
        <f t="shared" si="11"/>
        <v>0.5181818181818182</v>
      </c>
      <c r="W22" s="26">
        <f t="shared" si="12"/>
        <v>0.01</v>
      </c>
      <c r="X22" s="27">
        <f>D22/100000</f>
        <v>0.00378</v>
      </c>
      <c r="Y22" s="28">
        <f t="shared" si="13"/>
        <v>0.01482</v>
      </c>
      <c r="Z22" s="27"/>
    </row>
    <row r="23" spans="2:26" ht="15.75">
      <c r="B23" s="19" t="s">
        <v>188</v>
      </c>
      <c r="C23" s="18">
        <v>2150</v>
      </c>
      <c r="D23" s="18">
        <v>130</v>
      </c>
      <c r="E23" s="18">
        <v>420</v>
      </c>
      <c r="F23" s="18">
        <v>60</v>
      </c>
      <c r="G23" s="18">
        <v>0</v>
      </c>
      <c r="H23" s="81">
        <f t="shared" si="0"/>
        <v>2760</v>
      </c>
      <c r="I23" s="15">
        <f t="shared" si="1"/>
        <v>2760</v>
      </c>
      <c r="J23" s="15">
        <f t="shared" si="2"/>
        <v>2700</v>
      </c>
      <c r="K23" s="84">
        <v>0.19</v>
      </c>
      <c r="L23" s="5"/>
      <c r="M23" s="35">
        <f>H23/100000</f>
        <v>0.0276</v>
      </c>
      <c r="N23" s="33">
        <f>G23/100000</f>
        <v>0</v>
      </c>
      <c r="O23" s="33">
        <f>F23/100000</f>
        <v>0.0006</v>
      </c>
      <c r="P23" s="36">
        <f>J23/100000</f>
        <v>0.027</v>
      </c>
      <c r="Q23" s="26">
        <f>G23/H23</f>
        <v>0</v>
      </c>
      <c r="R23" s="27">
        <f>F23/H23</f>
        <v>0.021739130434782608</v>
      </c>
      <c r="S23" s="28">
        <f>J23/H23</f>
        <v>0.9782608695652174</v>
      </c>
      <c r="T23" s="26">
        <f>C23/J23</f>
        <v>0.7962962962962963</v>
      </c>
      <c r="U23" s="27">
        <f>D23/J23</f>
        <v>0.04814814814814815</v>
      </c>
      <c r="V23" s="28">
        <f>E23/J23</f>
        <v>0.15555555555555556</v>
      </c>
      <c r="W23" s="26">
        <f>C23/100000</f>
        <v>0.0215</v>
      </c>
      <c r="X23" s="27">
        <f>D23/100000</f>
        <v>0.0013</v>
      </c>
      <c r="Y23" s="28">
        <f>E23/100000</f>
        <v>0.0042</v>
      </c>
      <c r="Z23" s="27"/>
    </row>
    <row r="24" spans="2:26" ht="15.75">
      <c r="B24" s="12" t="s">
        <v>16</v>
      </c>
      <c r="C24" s="18">
        <f>0.04*D4</f>
        <v>4000</v>
      </c>
      <c r="D24" s="16" t="s">
        <v>43</v>
      </c>
      <c r="E24" s="18">
        <f>585+67.5+225</f>
        <v>877.5</v>
      </c>
      <c r="F24" s="18">
        <v>138</v>
      </c>
      <c r="G24" s="18">
        <f>0.02*D4</f>
        <v>2000</v>
      </c>
      <c r="H24" s="81">
        <f t="shared" si="0"/>
        <v>7015.5</v>
      </c>
      <c r="I24" s="15">
        <f t="shared" si="1"/>
        <v>5015.5</v>
      </c>
      <c r="J24" s="15">
        <f t="shared" si="2"/>
        <v>4877.5</v>
      </c>
      <c r="K24" s="84">
        <v>0.19</v>
      </c>
      <c r="L24" s="5"/>
      <c r="M24" s="35">
        <f t="shared" si="3"/>
        <v>0.070155</v>
      </c>
      <c r="N24" s="33">
        <f t="shared" si="4"/>
        <v>0.02</v>
      </c>
      <c r="O24" s="33">
        <f t="shared" si="5"/>
        <v>0.00138</v>
      </c>
      <c r="P24" s="36">
        <f t="shared" si="6"/>
        <v>0.048775</v>
      </c>
      <c r="Q24" s="26">
        <f t="shared" si="7"/>
        <v>0.2850830304326135</v>
      </c>
      <c r="R24" s="27">
        <f t="shared" si="8"/>
        <v>0.01967072909985033</v>
      </c>
      <c r="S24" s="28">
        <f t="shared" si="9"/>
        <v>0.6952462404675361</v>
      </c>
      <c r="T24" s="26">
        <f t="shared" si="10"/>
        <v>0.8200922603792927</v>
      </c>
      <c r="U24" s="27"/>
      <c r="V24" s="28">
        <f t="shared" si="11"/>
        <v>0.17990773962070733</v>
      </c>
      <c r="W24" s="26">
        <f t="shared" si="12"/>
        <v>0.04</v>
      </c>
      <c r="X24" s="27"/>
      <c r="Y24" s="28">
        <f t="shared" si="13"/>
        <v>0.008775</v>
      </c>
      <c r="Z24" s="27"/>
    </row>
    <row r="25" spans="2:26" ht="15.75">
      <c r="B25" s="12" t="s">
        <v>9</v>
      </c>
      <c r="C25" s="18">
        <v>6000</v>
      </c>
      <c r="D25" s="16">
        <v>130</v>
      </c>
      <c r="E25" s="18">
        <f>269+379+2*210</f>
        <v>1068</v>
      </c>
      <c r="F25" s="18">
        <f>129+161</f>
        <v>290</v>
      </c>
      <c r="G25" s="18">
        <f>D4*(0.07+0.017)</f>
        <v>8700</v>
      </c>
      <c r="H25" s="81">
        <f t="shared" si="0"/>
        <v>16188</v>
      </c>
      <c r="I25" s="15">
        <f t="shared" si="1"/>
        <v>7488</v>
      </c>
      <c r="J25" s="15">
        <f t="shared" si="2"/>
        <v>7198</v>
      </c>
      <c r="K25" s="84">
        <v>0.16</v>
      </c>
      <c r="L25" s="5"/>
      <c r="M25" s="35">
        <f t="shared" si="3"/>
        <v>0.16188</v>
      </c>
      <c r="N25" s="33">
        <f t="shared" si="4"/>
        <v>0.087</v>
      </c>
      <c r="O25" s="33">
        <f t="shared" si="5"/>
        <v>0.0029</v>
      </c>
      <c r="P25" s="36">
        <f t="shared" si="6"/>
        <v>0.07198</v>
      </c>
      <c r="Q25" s="26">
        <f t="shared" si="7"/>
        <v>0.5374351371386212</v>
      </c>
      <c r="R25" s="27">
        <f t="shared" si="8"/>
        <v>0.017914504571287373</v>
      </c>
      <c r="S25" s="28">
        <f t="shared" si="9"/>
        <v>0.4446503582900914</v>
      </c>
      <c r="T25" s="26">
        <f t="shared" si="10"/>
        <v>0.8335648791330925</v>
      </c>
      <c r="U25" s="27">
        <f>D25/J25</f>
        <v>0.018060572381217006</v>
      </c>
      <c r="V25" s="28">
        <f t="shared" si="11"/>
        <v>0.14837454848569048</v>
      </c>
      <c r="W25" s="26">
        <f t="shared" si="12"/>
        <v>0.06</v>
      </c>
      <c r="X25" s="27">
        <f>D25/100000</f>
        <v>0.0013</v>
      </c>
      <c r="Y25" s="28">
        <f t="shared" si="13"/>
        <v>0.01068</v>
      </c>
      <c r="Z25" s="27"/>
    </row>
    <row r="26" spans="2:26" ht="15.75">
      <c r="B26" s="20" t="s">
        <v>10</v>
      </c>
      <c r="C26" s="21">
        <v>3600</v>
      </c>
      <c r="D26" s="21">
        <v>400</v>
      </c>
      <c r="E26" s="21">
        <v>0</v>
      </c>
      <c r="F26" s="21">
        <v>130</v>
      </c>
      <c r="G26" s="21">
        <v>3500</v>
      </c>
      <c r="H26" s="82">
        <f t="shared" si="0"/>
        <v>7630</v>
      </c>
      <c r="I26" s="22">
        <f t="shared" si="1"/>
        <v>4130</v>
      </c>
      <c r="J26" s="22">
        <f t="shared" si="2"/>
        <v>4000</v>
      </c>
      <c r="K26" s="85">
        <v>0.25</v>
      </c>
      <c r="L26" s="5"/>
      <c r="M26" s="72">
        <f t="shared" si="3"/>
        <v>0.0763</v>
      </c>
      <c r="N26" s="33">
        <f t="shared" si="4"/>
        <v>0.035</v>
      </c>
      <c r="O26" s="33">
        <f t="shared" si="5"/>
        <v>0.0013</v>
      </c>
      <c r="P26" s="36">
        <f t="shared" si="6"/>
        <v>0.04</v>
      </c>
      <c r="Q26" s="26">
        <f t="shared" si="7"/>
        <v>0.45871559633027525</v>
      </c>
      <c r="R26" s="27">
        <f t="shared" si="8"/>
        <v>0.01703800786369594</v>
      </c>
      <c r="S26" s="28">
        <f t="shared" si="9"/>
        <v>0.5242463958060288</v>
      </c>
      <c r="T26" s="44">
        <f t="shared" si="10"/>
        <v>0.9</v>
      </c>
      <c r="U26" s="27">
        <f>D26/J26</f>
        <v>0.1</v>
      </c>
      <c r="V26" s="45">
        <f t="shared" si="11"/>
        <v>0</v>
      </c>
      <c r="W26" s="44">
        <f t="shared" si="12"/>
        <v>0.036</v>
      </c>
      <c r="X26" s="27">
        <f>D26/100000</f>
        <v>0.004</v>
      </c>
      <c r="Y26" s="45">
        <f t="shared" si="13"/>
        <v>0</v>
      </c>
      <c r="Z26" s="55"/>
    </row>
    <row r="27" spans="2:26" ht="15.75">
      <c r="B27" s="42" t="s">
        <v>27</v>
      </c>
      <c r="C27" s="70">
        <f>(SUM(C7:C26))/D28</f>
        <v>3763.65</v>
      </c>
      <c r="D27" s="70">
        <f>(SUM(D7:D26))/D28</f>
        <v>286.15</v>
      </c>
      <c r="E27" s="70">
        <f>(SUM(E7:E26))/D28</f>
        <v>1238.4285</v>
      </c>
      <c r="F27" s="70">
        <f>(SUM(F7:F26))/D28</f>
        <v>468.93549999999993</v>
      </c>
      <c r="G27" s="70">
        <f>(SUM(G7:G26))/D28</f>
        <v>4039.55</v>
      </c>
      <c r="H27" s="82">
        <f>(SUM(H7:H26))/D28</f>
        <v>9796.714</v>
      </c>
      <c r="I27" s="70">
        <f>(SUM(I7:I26))/D28</f>
        <v>5757.164</v>
      </c>
      <c r="J27" s="70">
        <f>(SUM(J7:J26))/D28</f>
        <v>5288.2285</v>
      </c>
      <c r="K27" s="41"/>
      <c r="L27" s="29" t="s">
        <v>27</v>
      </c>
      <c r="M27" s="71">
        <f>(SUM(M7:M26))/D28</f>
        <v>0.09796714000000002</v>
      </c>
      <c r="N27" s="53">
        <f>(SUM(N7:N26))/D28</f>
        <v>0.0403955</v>
      </c>
      <c r="O27" s="53">
        <f>(SUM(O7:O26))/D28</f>
        <v>0.004689355000000001</v>
      </c>
      <c r="P27" s="53">
        <f>(SUM(P7:P26))/D28</f>
        <v>0.052882284999999994</v>
      </c>
      <c r="Q27" s="52">
        <f>(SUM(Q7:Q26))/D28</f>
        <v>0.3164996017213465</v>
      </c>
      <c r="R27" s="53">
        <f>(SUM(R7:R26))/D28</f>
        <v>0.04999831821862216</v>
      </c>
      <c r="S27" s="53">
        <f>(SUM(S7:S26))/D28</f>
        <v>0.6335020800600314</v>
      </c>
      <c r="T27" s="52">
        <f>(SUM(T7:T26))/D28</f>
        <v>0.6978129310347667</v>
      </c>
      <c r="U27" s="53">
        <f>(SUM(U7:U26))/D28</f>
        <v>0.06330943712191052</v>
      </c>
      <c r="V27" s="53">
        <f>(SUM(V7:V26))/D28</f>
        <v>0.23887763184332278</v>
      </c>
      <c r="W27" s="52">
        <f>(SUM(W7:W26))/D28</f>
        <v>0.037636499999999996</v>
      </c>
      <c r="X27" s="53">
        <f>(SUM(X7:X26))/I28</f>
        <v>0.004402307692307692</v>
      </c>
      <c r="Y27" s="54">
        <f>(SUM(Y7:Y26))/D28</f>
        <v>0.012384285000000002</v>
      </c>
      <c r="Z27" s="32"/>
    </row>
    <row r="28" spans="2:26" ht="15.75">
      <c r="B28" s="64"/>
      <c r="C28" s="65" t="s">
        <v>44</v>
      </c>
      <c r="D28" s="66">
        <v>20</v>
      </c>
      <c r="E28" s="67"/>
      <c r="F28" s="65"/>
      <c r="G28" s="65"/>
      <c r="H28" s="65" t="s">
        <v>52</v>
      </c>
      <c r="I28" s="66">
        <v>13</v>
      </c>
      <c r="J28" s="68"/>
      <c r="K28" s="41"/>
      <c r="L28" s="3"/>
      <c r="M28" s="3"/>
      <c r="N28" s="3"/>
      <c r="O28" s="3"/>
      <c r="P28" s="3"/>
      <c r="T28" s="50" t="s">
        <v>51</v>
      </c>
      <c r="U28" s="31">
        <f>(SUM(U7:U26))/I28</f>
        <v>0.09739913403370849</v>
      </c>
      <c r="W28" s="47"/>
      <c r="X28" s="46"/>
      <c r="Y28" s="47"/>
      <c r="Z28" s="49"/>
    </row>
    <row r="29" spans="2:26" ht="15.75">
      <c r="B29" s="87"/>
      <c r="C29" s="69"/>
      <c r="L29" s="3"/>
      <c r="M29" s="3"/>
      <c r="N29" s="3"/>
      <c r="O29" s="3"/>
      <c r="P29" s="3"/>
      <c r="V29" s="51"/>
      <c r="W29" s="48"/>
      <c r="Y29" s="48"/>
      <c r="Z29" s="48"/>
    </row>
    <row r="30" spans="12:26" ht="15.75">
      <c r="L30" s="3"/>
      <c r="M30" s="3"/>
      <c r="N30" s="3"/>
      <c r="O30" s="3"/>
      <c r="P30" s="3"/>
      <c r="W30" s="49"/>
      <c r="X30" s="32"/>
      <c r="Y30" s="49"/>
      <c r="Z30" s="49"/>
    </row>
    <row r="31" spans="2:27" ht="15.75">
      <c r="B31" s="7"/>
      <c r="C31" s="8"/>
      <c r="D31" s="9">
        <v>250000</v>
      </c>
      <c r="E31" s="10" t="s">
        <v>57</v>
      </c>
      <c r="F31" s="8"/>
      <c r="G31" s="8"/>
      <c r="H31" s="8"/>
      <c r="I31" s="8"/>
      <c r="J31" s="8"/>
      <c r="K31" s="11"/>
      <c r="L31" s="3"/>
      <c r="M31" s="34"/>
      <c r="N31" s="40" t="s">
        <v>28</v>
      </c>
      <c r="O31" s="30"/>
      <c r="P31" s="11"/>
      <c r="Q31" s="7"/>
      <c r="R31" s="30" t="s">
        <v>21</v>
      </c>
      <c r="S31" s="11"/>
      <c r="T31" s="7"/>
      <c r="U31" s="30" t="s">
        <v>24</v>
      </c>
      <c r="V31" s="11"/>
      <c r="W31" s="7"/>
      <c r="X31" s="30" t="s">
        <v>39</v>
      </c>
      <c r="Y31" s="11"/>
      <c r="Z31" s="2"/>
      <c r="AA31" s="2"/>
    </row>
    <row r="32" spans="2:27" ht="12.75">
      <c r="B32" s="12"/>
      <c r="C32" s="2"/>
      <c r="D32" s="2"/>
      <c r="E32" s="2"/>
      <c r="F32" s="2"/>
      <c r="G32" s="2"/>
      <c r="H32" s="2"/>
      <c r="I32" s="2"/>
      <c r="J32" s="2"/>
      <c r="K32" s="13"/>
      <c r="L32" s="2"/>
      <c r="M32" s="37"/>
      <c r="N32" s="43" t="s">
        <v>31</v>
      </c>
      <c r="O32" s="43"/>
      <c r="P32" s="39"/>
      <c r="Q32" s="12"/>
      <c r="R32" s="43" t="s">
        <v>31</v>
      </c>
      <c r="S32" s="13"/>
      <c r="T32" s="12"/>
      <c r="U32" s="43" t="s">
        <v>31</v>
      </c>
      <c r="V32" s="13"/>
      <c r="W32" s="12"/>
      <c r="X32" s="43" t="s">
        <v>31</v>
      </c>
      <c r="Y32" s="13"/>
      <c r="Z32" s="2"/>
      <c r="AA32" s="2"/>
    </row>
    <row r="33" spans="2:27" ht="12.75">
      <c r="B33" s="56" t="s">
        <v>11</v>
      </c>
      <c r="C33" s="58" t="s">
        <v>40</v>
      </c>
      <c r="D33" s="58" t="s">
        <v>32</v>
      </c>
      <c r="E33" s="58" t="s">
        <v>46</v>
      </c>
      <c r="F33" s="58" t="s">
        <v>33</v>
      </c>
      <c r="G33" s="58" t="s">
        <v>17</v>
      </c>
      <c r="H33" s="58" t="s">
        <v>34</v>
      </c>
      <c r="I33" s="58" t="s">
        <v>36</v>
      </c>
      <c r="J33" s="58" t="s">
        <v>35</v>
      </c>
      <c r="K33" s="59" t="s">
        <v>18</v>
      </c>
      <c r="L33" s="63"/>
      <c r="M33" s="57" t="s">
        <v>37</v>
      </c>
      <c r="N33" s="58" t="s">
        <v>22</v>
      </c>
      <c r="O33" s="58" t="s">
        <v>23</v>
      </c>
      <c r="P33" s="60" t="s">
        <v>38</v>
      </c>
      <c r="Q33" s="61" t="s">
        <v>22</v>
      </c>
      <c r="R33" s="62" t="s">
        <v>23</v>
      </c>
      <c r="S33" s="60" t="s">
        <v>38</v>
      </c>
      <c r="T33" s="61" t="s">
        <v>25</v>
      </c>
      <c r="U33" s="62" t="s">
        <v>26</v>
      </c>
      <c r="V33" s="60" t="s">
        <v>47</v>
      </c>
      <c r="W33" s="61" t="s">
        <v>25</v>
      </c>
      <c r="X33" s="62" t="s">
        <v>26</v>
      </c>
      <c r="Y33" s="60" t="s">
        <v>47</v>
      </c>
      <c r="Z33" s="24"/>
      <c r="AA33" s="24"/>
    </row>
    <row r="34" spans="2:27" ht="12.75">
      <c r="B34" s="14" t="s">
        <v>12</v>
      </c>
      <c r="C34" s="15">
        <v>15000</v>
      </c>
      <c r="D34" s="16" t="s">
        <v>43</v>
      </c>
      <c r="E34" s="15">
        <v>1900</v>
      </c>
      <c r="F34" s="15">
        <f>D31*0.022</f>
        <v>5500</v>
      </c>
      <c r="G34" s="15">
        <f>D31*0.035</f>
        <v>8750</v>
      </c>
      <c r="H34" s="80">
        <f>SUM(C34:G34)</f>
        <v>31150</v>
      </c>
      <c r="I34" s="15">
        <f>SUM(C34:F34)</f>
        <v>22400</v>
      </c>
      <c r="J34" s="15">
        <f>SUM(C34:E34)</f>
        <v>16900</v>
      </c>
      <c r="K34" s="83">
        <v>0.2</v>
      </c>
      <c r="L34" s="4"/>
      <c r="M34" s="35">
        <f>H34/250000</f>
        <v>0.1246</v>
      </c>
      <c r="N34" s="33">
        <f>G34/250000</f>
        <v>0.035</v>
      </c>
      <c r="O34" s="33">
        <f>F34/250000</f>
        <v>0.022</v>
      </c>
      <c r="P34" s="36">
        <f>J34/250000</f>
        <v>0.0676</v>
      </c>
      <c r="Q34" s="26">
        <f>G34/H34</f>
        <v>0.2808988764044944</v>
      </c>
      <c r="R34" s="27">
        <f>F34/H34</f>
        <v>0.17656500802568217</v>
      </c>
      <c r="S34" s="28">
        <f>J34/H34</f>
        <v>0.5425361155698234</v>
      </c>
      <c r="T34" s="26">
        <f>C34/J34</f>
        <v>0.8875739644970414</v>
      </c>
      <c r="U34" s="27"/>
      <c r="V34" s="28">
        <f>E34/J34</f>
        <v>0.11242603550295859</v>
      </c>
      <c r="W34" s="26">
        <f>C34/250000</f>
        <v>0.06</v>
      </c>
      <c r="X34" s="27"/>
      <c r="Y34" s="28">
        <f>E34/250000</f>
        <v>0.0076</v>
      </c>
      <c r="Z34" s="27"/>
      <c r="AA34" s="24"/>
    </row>
    <row r="35" spans="2:27" ht="15.75">
      <c r="B35" s="14" t="s">
        <v>13</v>
      </c>
      <c r="C35" s="15">
        <f>D31*0.03</f>
        <v>7500</v>
      </c>
      <c r="D35" s="16" t="s">
        <v>43</v>
      </c>
      <c r="E35" s="15">
        <f>2448.66+903.38</f>
        <v>3352.04</v>
      </c>
      <c r="F35" s="15">
        <f>825+450</f>
        <v>1275</v>
      </c>
      <c r="G35" s="15">
        <f>D31*0.115+2750</f>
        <v>31500</v>
      </c>
      <c r="H35" s="81">
        <f aca="true" t="shared" si="14" ref="H35:H53">SUM(C35:G35)</f>
        <v>43627.04</v>
      </c>
      <c r="I35" s="15">
        <f aca="true" t="shared" si="15" ref="I35:I53">SUM(C35:F35)</f>
        <v>12127.04</v>
      </c>
      <c r="J35" s="15">
        <f aca="true" t="shared" si="16" ref="J35:J53">SUM(C35:E35)</f>
        <v>10852.04</v>
      </c>
      <c r="K35" s="84">
        <v>0.21</v>
      </c>
      <c r="L35" s="5"/>
      <c r="M35" s="35">
        <f aca="true" t="shared" si="17" ref="M35:M53">H35/250000</f>
        <v>0.17450816</v>
      </c>
      <c r="N35" s="33">
        <f aca="true" t="shared" si="18" ref="N35:N53">G35/250000</f>
        <v>0.126</v>
      </c>
      <c r="O35" s="33">
        <f aca="true" t="shared" si="19" ref="O35:O53">F35/250000</f>
        <v>0.0051</v>
      </c>
      <c r="P35" s="36">
        <f aca="true" t="shared" si="20" ref="P35:P53">J35/250000</f>
        <v>0.04340816</v>
      </c>
      <c r="Q35" s="26">
        <f>G35/H35</f>
        <v>0.7220292735881233</v>
      </c>
      <c r="R35" s="27">
        <f>F35/H35</f>
        <v>0.029224994407138324</v>
      </c>
      <c r="S35" s="28">
        <f>J35/H35</f>
        <v>0.24874573200473837</v>
      </c>
      <c r="T35" s="26">
        <f>C35/J35</f>
        <v>0.6911142974039903</v>
      </c>
      <c r="U35" s="27"/>
      <c r="V35" s="28">
        <f>E35/J35</f>
        <v>0.30888570259600956</v>
      </c>
      <c r="W35" s="26">
        <f aca="true" t="shared" si="21" ref="W35:W53">C35/250000</f>
        <v>0.03</v>
      </c>
      <c r="X35" s="27"/>
      <c r="Y35" s="28">
        <f aca="true" t="shared" si="22" ref="Y35:Y53">E35/250000</f>
        <v>0.01340816</v>
      </c>
      <c r="Z35" s="27"/>
      <c r="AA35" s="24"/>
    </row>
    <row r="36" spans="2:30" ht="15.75">
      <c r="B36" s="14" t="s">
        <v>154</v>
      </c>
      <c r="C36" s="15">
        <v>10000</v>
      </c>
      <c r="D36" s="15">
        <v>350</v>
      </c>
      <c r="E36" s="15">
        <v>1000</v>
      </c>
      <c r="F36" s="15">
        <v>17</v>
      </c>
      <c r="G36" s="15">
        <v>0</v>
      </c>
      <c r="H36" s="81">
        <f t="shared" si="14"/>
        <v>11367</v>
      </c>
      <c r="I36" s="15">
        <f>SUM(C36:F36)</f>
        <v>11367</v>
      </c>
      <c r="J36" s="15">
        <f>SUM(C36:E36)</f>
        <v>11350</v>
      </c>
      <c r="K36" s="84">
        <v>0.19</v>
      </c>
      <c r="L36" s="5"/>
      <c r="M36" s="35">
        <f>H36/250000</f>
        <v>0.045468</v>
      </c>
      <c r="N36" s="33">
        <f>G36/250000</f>
        <v>0</v>
      </c>
      <c r="O36" s="33">
        <f>F36/250000</f>
        <v>6.8E-05</v>
      </c>
      <c r="P36" s="36">
        <f>J36/250000</f>
        <v>0.0454</v>
      </c>
      <c r="Q36" s="26">
        <f>G36/H36</f>
        <v>0</v>
      </c>
      <c r="R36" s="27">
        <f>F36/H36</f>
        <v>0.0014955573150347498</v>
      </c>
      <c r="S36" s="28">
        <f>J36/H36</f>
        <v>0.9985044426849653</v>
      </c>
      <c r="T36" s="26">
        <f>C36/J36</f>
        <v>0.8810572687224669</v>
      </c>
      <c r="U36" s="27">
        <f>D36/J36</f>
        <v>0.030837004405286344</v>
      </c>
      <c r="V36" s="28">
        <f>E36/J36</f>
        <v>0.0881057268722467</v>
      </c>
      <c r="W36" s="74">
        <f>C36/250000</f>
        <v>0.04</v>
      </c>
      <c r="X36" s="27">
        <f>D36/250000</f>
        <v>0.0014</v>
      </c>
      <c r="Y36" s="45">
        <f>E36/250000</f>
        <v>0.004</v>
      </c>
      <c r="Z36" s="27"/>
      <c r="AA36" s="24"/>
      <c r="AB36" s="27"/>
      <c r="AC36" s="27"/>
      <c r="AD36" s="2"/>
    </row>
    <row r="37" spans="2:27" ht="15.75">
      <c r="B37" s="12" t="s">
        <v>14</v>
      </c>
      <c r="C37" s="18">
        <v>7747</v>
      </c>
      <c r="D37" s="18">
        <v>1020</v>
      </c>
      <c r="E37" s="18">
        <v>1013</v>
      </c>
      <c r="F37" s="18">
        <f>1687+3937</f>
        <v>5624</v>
      </c>
      <c r="G37" s="18">
        <v>0</v>
      </c>
      <c r="H37" s="81">
        <f t="shared" si="14"/>
        <v>15404</v>
      </c>
      <c r="I37" s="15">
        <f t="shared" si="15"/>
        <v>15404</v>
      </c>
      <c r="J37" s="15">
        <f t="shared" si="16"/>
        <v>9780</v>
      </c>
      <c r="K37" s="84">
        <v>0.25</v>
      </c>
      <c r="L37" s="5"/>
      <c r="M37" s="35">
        <f t="shared" si="17"/>
        <v>0.061616</v>
      </c>
      <c r="N37" s="33">
        <f t="shared" si="18"/>
        <v>0</v>
      </c>
      <c r="O37" s="33">
        <f t="shared" si="19"/>
        <v>0.022496</v>
      </c>
      <c r="P37" s="36">
        <f t="shared" si="20"/>
        <v>0.03912</v>
      </c>
      <c r="Q37" s="26">
        <f>G37/H37</f>
        <v>0</v>
      </c>
      <c r="R37" s="27">
        <f>F37/H37</f>
        <v>0.36509997403271877</v>
      </c>
      <c r="S37" s="28">
        <f>J37/H37</f>
        <v>0.6349000259672812</v>
      </c>
      <c r="T37" s="44">
        <f>C37/J37</f>
        <v>0.7921267893660532</v>
      </c>
      <c r="U37" s="27">
        <f>D37/J37</f>
        <v>0.10429447852760736</v>
      </c>
      <c r="V37" s="45">
        <f>E37/J37</f>
        <v>0.10357873210633947</v>
      </c>
      <c r="W37" s="44">
        <f t="shared" si="21"/>
        <v>0.030988</v>
      </c>
      <c r="X37" s="27">
        <f>D37/250000</f>
        <v>0.00408</v>
      </c>
      <c r="Y37" s="45">
        <f t="shared" si="22"/>
        <v>0.004052</v>
      </c>
      <c r="Z37" s="55"/>
      <c r="AA37" s="24"/>
    </row>
    <row r="38" spans="2:27" ht="15.75">
      <c r="B38" s="12" t="s">
        <v>0</v>
      </c>
      <c r="C38" s="18">
        <v>3579</v>
      </c>
      <c r="D38" s="18">
        <f>500*1.5</f>
        <v>750</v>
      </c>
      <c r="E38" s="18">
        <v>1420</v>
      </c>
      <c r="F38" s="18">
        <f>150*1.5</f>
        <v>225</v>
      </c>
      <c r="G38" s="18">
        <v>2520</v>
      </c>
      <c r="H38" s="81">
        <f t="shared" si="14"/>
        <v>8494</v>
      </c>
      <c r="I38" s="15">
        <f t="shared" si="15"/>
        <v>5974</v>
      </c>
      <c r="J38" s="15">
        <f t="shared" si="16"/>
        <v>5749</v>
      </c>
      <c r="K38" s="84">
        <v>0.175</v>
      </c>
      <c r="L38" s="5"/>
      <c r="M38" s="35">
        <f t="shared" si="17"/>
        <v>0.033976</v>
      </c>
      <c r="N38" s="33">
        <f t="shared" si="18"/>
        <v>0.01008</v>
      </c>
      <c r="O38" s="33">
        <f t="shared" si="19"/>
        <v>0.0009</v>
      </c>
      <c r="P38" s="36">
        <f t="shared" si="20"/>
        <v>0.022996</v>
      </c>
      <c r="Q38" s="26">
        <f>G38/H38</f>
        <v>0.296680009418413</v>
      </c>
      <c r="R38" s="27">
        <f>F38/H38</f>
        <v>0.026489286555215447</v>
      </c>
      <c r="S38" s="28">
        <f>J38/H38</f>
        <v>0.6768307040263716</v>
      </c>
      <c r="T38" s="26">
        <f>C38/J38</f>
        <v>0.6225430509653853</v>
      </c>
      <c r="U38" s="27">
        <f>D38/J38</f>
        <v>0.1304574708644982</v>
      </c>
      <c r="V38" s="28">
        <f>E38/J38</f>
        <v>0.24699947817011655</v>
      </c>
      <c r="W38" s="26">
        <f t="shared" si="21"/>
        <v>0.014316</v>
      </c>
      <c r="X38" s="27">
        <f>D38/250000</f>
        <v>0.003</v>
      </c>
      <c r="Y38" s="28">
        <f t="shared" si="22"/>
        <v>0.00568</v>
      </c>
      <c r="Z38" s="27"/>
      <c r="AA38" s="24"/>
    </row>
    <row r="39" spans="2:27" ht="15.75">
      <c r="B39" s="12" t="s">
        <v>1</v>
      </c>
      <c r="C39" s="18">
        <f>D31*0.03125</f>
        <v>7812.5</v>
      </c>
      <c r="D39" s="18">
        <v>600</v>
      </c>
      <c r="E39" s="18">
        <f>353.2+77</f>
        <v>430.2</v>
      </c>
      <c r="F39" s="18">
        <f>65+44</f>
        <v>109</v>
      </c>
      <c r="G39" s="18">
        <v>10000</v>
      </c>
      <c r="H39" s="81">
        <f t="shared" si="14"/>
        <v>18951.7</v>
      </c>
      <c r="I39" s="15">
        <f t="shared" si="15"/>
        <v>8951.7</v>
      </c>
      <c r="J39" s="15">
        <f t="shared" si="16"/>
        <v>8842.7</v>
      </c>
      <c r="K39" s="84">
        <v>0.28</v>
      </c>
      <c r="L39" s="5"/>
      <c r="M39" s="35">
        <f t="shared" si="17"/>
        <v>0.07580680000000001</v>
      </c>
      <c r="N39" s="33">
        <f t="shared" si="18"/>
        <v>0.04</v>
      </c>
      <c r="O39" s="33">
        <f t="shared" si="19"/>
        <v>0.000436</v>
      </c>
      <c r="P39" s="36">
        <f t="shared" si="20"/>
        <v>0.0353708</v>
      </c>
      <c r="Q39" s="26">
        <f aca="true" t="shared" si="23" ref="Q39:Q46">G39/H39</f>
        <v>0.527657149490547</v>
      </c>
      <c r="R39" s="27">
        <f aca="true" t="shared" si="24" ref="R39:R46">F39/H39</f>
        <v>0.005751462929446963</v>
      </c>
      <c r="S39" s="28">
        <f aca="true" t="shared" si="25" ref="S39:S46">J39/H39</f>
        <v>0.466591387580006</v>
      </c>
      <c r="T39" s="44">
        <f aca="true" t="shared" si="26" ref="T39:T46">C39/J39</f>
        <v>0.8834971219197756</v>
      </c>
      <c r="U39" s="27">
        <f>D39/J39</f>
        <v>0.06785257896343877</v>
      </c>
      <c r="V39" s="45">
        <f aca="true" t="shared" si="27" ref="V39:V46">E39/J39</f>
        <v>0.04865029911678559</v>
      </c>
      <c r="W39" s="44">
        <f t="shared" si="21"/>
        <v>0.03125</v>
      </c>
      <c r="X39" s="27">
        <f>D39/250000</f>
        <v>0.0024</v>
      </c>
      <c r="Y39" s="45">
        <f t="shared" si="22"/>
        <v>0.0017208</v>
      </c>
      <c r="Z39" s="55"/>
      <c r="AA39" s="24"/>
    </row>
    <row r="40" spans="2:27" ht="15.75">
      <c r="B40" s="12" t="s">
        <v>2</v>
      </c>
      <c r="C40" s="18">
        <f>D31*0.07</f>
        <v>17500</v>
      </c>
      <c r="D40" s="16">
        <v>500</v>
      </c>
      <c r="E40" s="18">
        <v>3188</v>
      </c>
      <c r="F40" s="18">
        <f>D31*0.0015</f>
        <v>375</v>
      </c>
      <c r="G40" s="18">
        <f>D31*0.0506</f>
        <v>12650</v>
      </c>
      <c r="H40" s="81">
        <f t="shared" si="14"/>
        <v>34213</v>
      </c>
      <c r="I40" s="15">
        <f t="shared" si="15"/>
        <v>21563</v>
      </c>
      <c r="J40" s="15">
        <f t="shared" si="16"/>
        <v>21188</v>
      </c>
      <c r="K40" s="84">
        <v>0.196</v>
      </c>
      <c r="L40" s="5"/>
      <c r="M40" s="35">
        <f t="shared" si="17"/>
        <v>0.136852</v>
      </c>
      <c r="N40" s="33">
        <f t="shared" si="18"/>
        <v>0.0506</v>
      </c>
      <c r="O40" s="33">
        <f t="shared" si="19"/>
        <v>0.0015</v>
      </c>
      <c r="P40" s="36">
        <f t="shared" si="20"/>
        <v>0.084752</v>
      </c>
      <c r="Q40" s="26">
        <f t="shared" si="23"/>
        <v>0.36974249554263</v>
      </c>
      <c r="R40" s="27">
        <f t="shared" si="24"/>
        <v>0.010960745915295356</v>
      </c>
      <c r="S40" s="28">
        <f t="shared" si="25"/>
        <v>0.6192967585420747</v>
      </c>
      <c r="T40" s="26">
        <f t="shared" si="26"/>
        <v>0.8259392108740796</v>
      </c>
      <c r="U40" s="27">
        <f>D40/J40</f>
        <v>0.023598263167830848</v>
      </c>
      <c r="V40" s="28">
        <f t="shared" si="27"/>
        <v>0.15046252595808948</v>
      </c>
      <c r="W40" s="26">
        <f t="shared" si="21"/>
        <v>0.07</v>
      </c>
      <c r="X40" s="27">
        <f>D40/250000</f>
        <v>0.002</v>
      </c>
      <c r="Y40" s="28">
        <f t="shared" si="22"/>
        <v>0.012752</v>
      </c>
      <c r="Z40" s="27"/>
      <c r="AA40" s="24"/>
    </row>
    <row r="41" spans="2:27" ht="15.75">
      <c r="B41" s="12" t="s">
        <v>3</v>
      </c>
      <c r="C41" s="18">
        <f>D31*0.04</f>
        <v>10000</v>
      </c>
      <c r="D41" s="16" t="s">
        <v>43</v>
      </c>
      <c r="E41" s="18">
        <f>1360+235</f>
        <v>1595</v>
      </c>
      <c r="F41" s="18">
        <v>1080</v>
      </c>
      <c r="G41" s="18">
        <f>D31*0.035</f>
        <v>8750</v>
      </c>
      <c r="H41" s="81">
        <f t="shared" si="14"/>
        <v>21425</v>
      </c>
      <c r="I41" s="15">
        <f t="shared" si="15"/>
        <v>12675</v>
      </c>
      <c r="J41" s="15">
        <f t="shared" si="16"/>
        <v>11595</v>
      </c>
      <c r="K41" s="84">
        <v>0.16</v>
      </c>
      <c r="L41" s="5"/>
      <c r="M41" s="35">
        <f t="shared" si="17"/>
        <v>0.0857</v>
      </c>
      <c r="N41" s="33">
        <f t="shared" si="18"/>
        <v>0.035</v>
      </c>
      <c r="O41" s="33">
        <f t="shared" si="19"/>
        <v>0.00432</v>
      </c>
      <c r="P41" s="36">
        <f t="shared" si="20"/>
        <v>0.04638</v>
      </c>
      <c r="Q41" s="26">
        <f t="shared" si="23"/>
        <v>0.40840140023337224</v>
      </c>
      <c r="R41" s="27">
        <f t="shared" si="24"/>
        <v>0.05040840140023337</v>
      </c>
      <c r="S41" s="28">
        <f t="shared" si="25"/>
        <v>0.5411901983663944</v>
      </c>
      <c r="T41" s="26">
        <f t="shared" si="26"/>
        <v>0.8624407072013799</v>
      </c>
      <c r="U41" s="27"/>
      <c r="V41" s="28">
        <f t="shared" si="27"/>
        <v>0.1375592927986201</v>
      </c>
      <c r="W41" s="26">
        <f t="shared" si="21"/>
        <v>0.04</v>
      </c>
      <c r="X41" s="27"/>
      <c r="Y41" s="28">
        <f t="shared" si="22"/>
        <v>0.00638</v>
      </c>
      <c r="Z41" s="27"/>
      <c r="AA41" s="24"/>
    </row>
    <row r="42" spans="2:27" ht="15.75">
      <c r="B42" s="12" t="s">
        <v>15</v>
      </c>
      <c r="C42" s="18">
        <f>D31*0.04</f>
        <v>10000</v>
      </c>
      <c r="D42" s="18">
        <v>500</v>
      </c>
      <c r="E42" s="18">
        <f>3200+2940+500</f>
        <v>6640</v>
      </c>
      <c r="F42" s="18">
        <f>1200+1950</f>
        <v>3150</v>
      </c>
      <c r="G42" s="18">
        <v>28000</v>
      </c>
      <c r="H42" s="81">
        <f t="shared" si="14"/>
        <v>48290</v>
      </c>
      <c r="I42" s="15">
        <f t="shared" si="15"/>
        <v>20290</v>
      </c>
      <c r="J42" s="15">
        <f t="shared" si="16"/>
        <v>17140</v>
      </c>
      <c r="K42" s="84">
        <v>0.19</v>
      </c>
      <c r="L42" s="5"/>
      <c r="M42" s="35">
        <f t="shared" si="17"/>
        <v>0.19316</v>
      </c>
      <c r="N42" s="33">
        <f t="shared" si="18"/>
        <v>0.112</v>
      </c>
      <c r="O42" s="33">
        <f t="shared" si="19"/>
        <v>0.0126</v>
      </c>
      <c r="P42" s="36">
        <f t="shared" si="20"/>
        <v>0.06856</v>
      </c>
      <c r="Q42" s="26">
        <f t="shared" si="23"/>
        <v>0.5798301925864568</v>
      </c>
      <c r="R42" s="27">
        <f t="shared" si="24"/>
        <v>0.0652308966659764</v>
      </c>
      <c r="S42" s="28">
        <f t="shared" si="25"/>
        <v>0.3549389107475668</v>
      </c>
      <c r="T42" s="26">
        <f t="shared" si="26"/>
        <v>0.5834305717619603</v>
      </c>
      <c r="U42" s="27">
        <f>D42/J42</f>
        <v>0.029171528588098017</v>
      </c>
      <c r="V42" s="28">
        <f t="shared" si="27"/>
        <v>0.38739789964994165</v>
      </c>
      <c r="W42" s="26">
        <f>C42/250000</f>
        <v>0.04</v>
      </c>
      <c r="X42" s="27">
        <f>D42/250000</f>
        <v>0.002</v>
      </c>
      <c r="Y42" s="28">
        <f>E42/250000</f>
        <v>0.02656</v>
      </c>
      <c r="Z42" s="27"/>
      <c r="AA42" s="24"/>
    </row>
    <row r="43" spans="2:27" ht="15.75">
      <c r="B43" s="12" t="s">
        <v>19</v>
      </c>
      <c r="C43" s="18">
        <f>0.03*D31</f>
        <v>7500</v>
      </c>
      <c r="D43" s="16" t="s">
        <v>43</v>
      </c>
      <c r="E43" s="18">
        <v>3770</v>
      </c>
      <c r="F43" s="18">
        <f>18+44</f>
        <v>62</v>
      </c>
      <c r="G43" s="18">
        <v>14420</v>
      </c>
      <c r="H43" s="81">
        <f t="shared" si="14"/>
        <v>25752</v>
      </c>
      <c r="I43" s="15">
        <f t="shared" si="15"/>
        <v>11332</v>
      </c>
      <c r="J43" s="15">
        <f t="shared" si="16"/>
        <v>11270</v>
      </c>
      <c r="K43" s="84">
        <v>0.2</v>
      </c>
      <c r="L43" s="5"/>
      <c r="M43" s="35">
        <f t="shared" si="17"/>
        <v>0.103008</v>
      </c>
      <c r="N43" s="33">
        <f t="shared" si="18"/>
        <v>0.05768</v>
      </c>
      <c r="O43" s="33">
        <f t="shared" si="19"/>
        <v>0.000248</v>
      </c>
      <c r="P43" s="36">
        <f t="shared" si="20"/>
        <v>0.04508</v>
      </c>
      <c r="Q43" s="26">
        <f t="shared" si="23"/>
        <v>0.5599565082323703</v>
      </c>
      <c r="R43" s="27">
        <f t="shared" si="24"/>
        <v>0.0024075799937868904</v>
      </c>
      <c r="S43" s="28">
        <f t="shared" si="25"/>
        <v>0.4376359117738428</v>
      </c>
      <c r="T43" s="26">
        <f t="shared" si="26"/>
        <v>0.6654835847382431</v>
      </c>
      <c r="U43" s="27"/>
      <c r="V43" s="28">
        <f t="shared" si="27"/>
        <v>0.33451641526175685</v>
      </c>
      <c r="W43" s="26">
        <f>C43/250000</f>
        <v>0.03</v>
      </c>
      <c r="X43" s="27"/>
      <c r="Y43" s="28">
        <f t="shared" si="22"/>
        <v>0.01508</v>
      </c>
      <c r="Z43" s="27"/>
      <c r="AA43" s="24"/>
    </row>
    <row r="44" spans="2:27" ht="15.75">
      <c r="B44" s="12" t="s">
        <v>4</v>
      </c>
      <c r="C44" s="18">
        <v>2000</v>
      </c>
      <c r="D44" s="18">
        <v>700</v>
      </c>
      <c r="E44" s="18">
        <v>2000</v>
      </c>
      <c r="F44" s="18">
        <v>375</v>
      </c>
      <c r="G44" s="18">
        <v>10000</v>
      </c>
      <c r="H44" s="81">
        <f t="shared" si="14"/>
        <v>15075</v>
      </c>
      <c r="I44" s="15">
        <f t="shared" si="15"/>
        <v>5075</v>
      </c>
      <c r="J44" s="15">
        <f t="shared" si="16"/>
        <v>4700</v>
      </c>
      <c r="K44" s="84">
        <v>0.21</v>
      </c>
      <c r="L44" s="5"/>
      <c r="M44" s="35">
        <f>H44/250000</f>
        <v>0.0603</v>
      </c>
      <c r="N44" s="33">
        <f>G44/250000</f>
        <v>0.04</v>
      </c>
      <c r="O44" s="33">
        <f>F44/250000</f>
        <v>0.0015</v>
      </c>
      <c r="P44" s="36">
        <f>J44/250000</f>
        <v>0.0188</v>
      </c>
      <c r="Q44" s="26">
        <f t="shared" si="23"/>
        <v>0.6633499170812603</v>
      </c>
      <c r="R44" s="27">
        <f t="shared" si="24"/>
        <v>0.024875621890547265</v>
      </c>
      <c r="S44" s="28">
        <f t="shared" si="25"/>
        <v>0.3117744610281924</v>
      </c>
      <c r="T44" s="26">
        <f t="shared" si="26"/>
        <v>0.425531914893617</v>
      </c>
      <c r="U44" s="27">
        <f>D44/J44</f>
        <v>0.14893617021276595</v>
      </c>
      <c r="V44" s="28">
        <f t="shared" si="27"/>
        <v>0.425531914893617</v>
      </c>
      <c r="W44" s="26">
        <f>C44/250000</f>
        <v>0.008</v>
      </c>
      <c r="X44" s="27">
        <f>D44/250000</f>
        <v>0.0028</v>
      </c>
      <c r="Y44" s="28">
        <f>E44/250000</f>
        <v>0.008</v>
      </c>
      <c r="Z44" s="27"/>
      <c r="AA44" s="24"/>
    </row>
    <row r="45" spans="2:27" ht="15.75">
      <c r="B45" s="12" t="s">
        <v>5</v>
      </c>
      <c r="C45" s="18">
        <f>0.06*D31</f>
        <v>15000</v>
      </c>
      <c r="D45" s="16" t="s">
        <v>43</v>
      </c>
      <c r="E45" s="18">
        <f>1950+1850</f>
        <v>3800</v>
      </c>
      <c r="F45" s="18">
        <f>90+35+24.71</f>
        <v>149.71</v>
      </c>
      <c r="G45" s="18">
        <f>(D31/2*0.03)+2*168+230</f>
        <v>4316</v>
      </c>
      <c r="H45" s="81">
        <f t="shared" si="14"/>
        <v>23265.71</v>
      </c>
      <c r="I45" s="15">
        <f t="shared" si="15"/>
        <v>18949.71</v>
      </c>
      <c r="J45" s="15">
        <f t="shared" si="16"/>
        <v>18800</v>
      </c>
      <c r="K45" s="84">
        <v>0.2</v>
      </c>
      <c r="L45" s="5"/>
      <c r="M45" s="35">
        <f t="shared" si="17"/>
        <v>0.09306284</v>
      </c>
      <c r="N45" s="33">
        <f t="shared" si="18"/>
        <v>0.017264</v>
      </c>
      <c r="O45" s="33">
        <f t="shared" si="19"/>
        <v>0.00059884</v>
      </c>
      <c r="P45" s="36">
        <f t="shared" si="20"/>
        <v>0.0752</v>
      </c>
      <c r="Q45" s="26">
        <f t="shared" si="23"/>
        <v>0.18550906032955797</v>
      </c>
      <c r="R45" s="27">
        <f t="shared" si="24"/>
        <v>0.006434791803044051</v>
      </c>
      <c r="S45" s="28">
        <f t="shared" si="25"/>
        <v>0.808056147867398</v>
      </c>
      <c r="T45" s="26">
        <f t="shared" si="26"/>
        <v>0.7978723404255319</v>
      </c>
      <c r="U45" s="27"/>
      <c r="V45" s="28">
        <f t="shared" si="27"/>
        <v>0.20212765957446807</v>
      </c>
      <c r="W45" s="26">
        <f t="shared" si="21"/>
        <v>0.06</v>
      </c>
      <c r="X45" s="27"/>
      <c r="Y45" s="28">
        <f t="shared" si="22"/>
        <v>0.0152</v>
      </c>
      <c r="Z45" s="27"/>
      <c r="AA45" s="24"/>
    </row>
    <row r="46" spans="2:27" ht="15.75">
      <c r="B46" s="12" t="s">
        <v>6</v>
      </c>
      <c r="C46" s="18">
        <v>4625</v>
      </c>
      <c r="D46" s="16" t="s">
        <v>43</v>
      </c>
      <c r="E46" s="18">
        <v>1350</v>
      </c>
      <c r="F46" s="18">
        <v>186</v>
      </c>
      <c r="G46" s="18">
        <v>15000</v>
      </c>
      <c r="H46" s="81">
        <f t="shared" si="14"/>
        <v>21161</v>
      </c>
      <c r="I46" s="15">
        <f t="shared" si="15"/>
        <v>6161</v>
      </c>
      <c r="J46" s="15">
        <f t="shared" si="16"/>
        <v>5975</v>
      </c>
      <c r="K46" s="84">
        <v>0.19</v>
      </c>
      <c r="L46" s="5"/>
      <c r="M46" s="35">
        <f>H46/250000</f>
        <v>0.084644</v>
      </c>
      <c r="N46" s="33">
        <f>G46/250000</f>
        <v>0.06</v>
      </c>
      <c r="O46" s="33">
        <f>F46/250000</f>
        <v>0.000744</v>
      </c>
      <c r="P46" s="36">
        <f>J46/250000</f>
        <v>0.0239</v>
      </c>
      <c r="Q46" s="26">
        <f t="shared" si="23"/>
        <v>0.7088511885071594</v>
      </c>
      <c r="R46" s="27">
        <f t="shared" si="24"/>
        <v>0.008789754737488777</v>
      </c>
      <c r="S46" s="28">
        <f t="shared" si="25"/>
        <v>0.28235905675535183</v>
      </c>
      <c r="T46" s="26">
        <f t="shared" si="26"/>
        <v>0.7740585774058577</v>
      </c>
      <c r="U46" s="27"/>
      <c r="V46" s="28">
        <f t="shared" si="27"/>
        <v>0.22594142259414227</v>
      </c>
      <c r="W46" s="26">
        <f>C46/250000</f>
        <v>0.0185</v>
      </c>
      <c r="X46" s="27"/>
      <c r="Y46" s="28">
        <f>E46/250000</f>
        <v>0.0054</v>
      </c>
      <c r="Z46" s="27"/>
      <c r="AA46" s="24"/>
    </row>
    <row r="47" spans="2:27" ht="15.75">
      <c r="B47" s="12" t="s">
        <v>7</v>
      </c>
      <c r="C47" s="18">
        <v>3750</v>
      </c>
      <c r="D47" s="16">
        <v>250</v>
      </c>
      <c r="E47" s="18">
        <v>1430</v>
      </c>
      <c r="F47" s="18">
        <v>50</v>
      </c>
      <c r="G47" s="18">
        <f>25000+5000+62</f>
        <v>30062</v>
      </c>
      <c r="H47" s="81">
        <f t="shared" si="14"/>
        <v>35542</v>
      </c>
      <c r="I47" s="15">
        <f t="shared" si="15"/>
        <v>5480</v>
      </c>
      <c r="J47" s="15">
        <f t="shared" si="16"/>
        <v>5430</v>
      </c>
      <c r="K47" s="84">
        <v>0.22</v>
      </c>
      <c r="L47" s="5"/>
      <c r="M47" s="35">
        <f t="shared" si="17"/>
        <v>0.142168</v>
      </c>
      <c r="N47" s="33">
        <f t="shared" si="18"/>
        <v>0.120248</v>
      </c>
      <c r="O47" s="33">
        <f t="shared" si="19"/>
        <v>0.0002</v>
      </c>
      <c r="P47" s="36">
        <f t="shared" si="20"/>
        <v>0.02172</v>
      </c>
      <c r="Q47" s="26">
        <f aca="true" t="shared" si="28" ref="Q47:Q53">G47/H47</f>
        <v>0.8458162174328963</v>
      </c>
      <c r="R47" s="27">
        <f aca="true" t="shared" si="29" ref="R47:R53">F47/H47</f>
        <v>0.0014067863372910921</v>
      </c>
      <c r="S47" s="28">
        <f aca="true" t="shared" si="30" ref="S47:S53">J47/H47</f>
        <v>0.1527769962298126</v>
      </c>
      <c r="T47" s="26">
        <f aca="true" t="shared" si="31" ref="T47:T53">C47/J47</f>
        <v>0.6906077348066298</v>
      </c>
      <c r="U47" s="27">
        <f>D47/J47</f>
        <v>0.04604051565377532</v>
      </c>
      <c r="V47" s="28">
        <f aca="true" t="shared" si="32" ref="V47:V53">E47/J47</f>
        <v>0.26335174953959484</v>
      </c>
      <c r="W47" s="26">
        <f t="shared" si="21"/>
        <v>0.015</v>
      </c>
      <c r="X47" s="27">
        <f>D47/250000</f>
        <v>0.001</v>
      </c>
      <c r="Y47" s="28">
        <f t="shared" si="22"/>
        <v>0.00572</v>
      </c>
      <c r="Z47" s="27"/>
      <c r="AA47" s="24"/>
    </row>
    <row r="48" spans="2:27" ht="15.75">
      <c r="B48" s="12" t="s">
        <v>189</v>
      </c>
      <c r="C48" s="18">
        <f>18750/2</f>
        <v>9375</v>
      </c>
      <c r="D48" s="16">
        <v>275</v>
      </c>
      <c r="E48" s="18">
        <f>325+331.94</f>
        <v>656.94</v>
      </c>
      <c r="F48" s="18">
        <v>260</v>
      </c>
      <c r="G48" s="18">
        <v>3500</v>
      </c>
      <c r="H48" s="81">
        <f>SUM(C48:G48)</f>
        <v>14066.94</v>
      </c>
      <c r="I48" s="15">
        <f>SUM(C48:F48)</f>
        <v>10566.94</v>
      </c>
      <c r="J48" s="15">
        <f>SUM(C48:E48)</f>
        <v>10306.94</v>
      </c>
      <c r="K48" s="84">
        <v>0.21</v>
      </c>
      <c r="L48" s="5"/>
      <c r="M48" s="35">
        <f>H48/250000</f>
        <v>0.05626776</v>
      </c>
      <c r="N48" s="33">
        <f>G48/250000</f>
        <v>0.014</v>
      </c>
      <c r="O48" s="33">
        <f>F48/250000</f>
        <v>0.00104</v>
      </c>
      <c r="P48" s="36">
        <f>J48/250000</f>
        <v>0.04122776</v>
      </c>
      <c r="Q48" s="26">
        <f t="shared" si="28"/>
        <v>0.24881033117365964</v>
      </c>
      <c r="R48" s="27">
        <f t="shared" si="29"/>
        <v>0.018483053172900433</v>
      </c>
      <c r="S48" s="28">
        <f t="shared" si="30"/>
        <v>0.73270661565344</v>
      </c>
      <c r="T48" s="26">
        <f t="shared" si="31"/>
        <v>0.9095813112330138</v>
      </c>
      <c r="U48" s="27">
        <f>D48/J48</f>
        <v>0.026681051796168406</v>
      </c>
      <c r="V48" s="28">
        <f t="shared" si="32"/>
        <v>0.06373763697081772</v>
      </c>
      <c r="W48" s="26">
        <f>C48/250000</f>
        <v>0.0375</v>
      </c>
      <c r="X48" s="27">
        <f>D48/250000</f>
        <v>0.0011</v>
      </c>
      <c r="Y48" s="28">
        <f>E48/250000</f>
        <v>0.0026277600000000003</v>
      </c>
      <c r="Z48" s="27"/>
      <c r="AA48" s="24"/>
    </row>
    <row r="49" spans="2:27" ht="15.75">
      <c r="B49" s="19" t="s">
        <v>8</v>
      </c>
      <c r="C49" s="18">
        <v>2500</v>
      </c>
      <c r="D49" s="18">
        <v>600</v>
      </c>
      <c r="E49" s="18">
        <v>1780</v>
      </c>
      <c r="F49" s="18">
        <v>587</v>
      </c>
      <c r="G49" s="18">
        <v>2506</v>
      </c>
      <c r="H49" s="81">
        <f t="shared" si="14"/>
        <v>7973</v>
      </c>
      <c r="I49" s="15">
        <f t="shared" si="15"/>
        <v>5467</v>
      </c>
      <c r="J49" s="15">
        <f t="shared" si="16"/>
        <v>4880</v>
      </c>
      <c r="K49" s="84">
        <v>0.175</v>
      </c>
      <c r="L49" s="5"/>
      <c r="M49" s="35">
        <f t="shared" si="17"/>
        <v>0.031892</v>
      </c>
      <c r="N49" s="33">
        <f t="shared" si="18"/>
        <v>0.010024</v>
      </c>
      <c r="O49" s="33">
        <f t="shared" si="19"/>
        <v>0.002348</v>
      </c>
      <c r="P49" s="36">
        <f t="shared" si="20"/>
        <v>0.01952</v>
      </c>
      <c r="Q49" s="26">
        <f t="shared" si="28"/>
        <v>0.31431079894644426</v>
      </c>
      <c r="R49" s="27">
        <f t="shared" si="29"/>
        <v>0.07362347924244325</v>
      </c>
      <c r="S49" s="28">
        <f t="shared" si="30"/>
        <v>0.6120657218111125</v>
      </c>
      <c r="T49" s="26">
        <f t="shared" si="31"/>
        <v>0.5122950819672131</v>
      </c>
      <c r="U49" s="27">
        <f>D49/J49</f>
        <v>0.12295081967213115</v>
      </c>
      <c r="V49" s="28">
        <f t="shared" si="32"/>
        <v>0.36475409836065575</v>
      </c>
      <c r="W49" s="26">
        <f t="shared" si="21"/>
        <v>0.01</v>
      </c>
      <c r="X49" s="27">
        <f>D49/250000</f>
        <v>0.0024</v>
      </c>
      <c r="Y49" s="28">
        <f t="shared" si="22"/>
        <v>0.00712</v>
      </c>
      <c r="Z49" s="27"/>
      <c r="AA49" s="24"/>
    </row>
    <row r="50" spans="2:27" ht="15.75">
      <c r="B50" s="19" t="s">
        <v>188</v>
      </c>
      <c r="C50" s="18">
        <v>2150</v>
      </c>
      <c r="D50" s="18">
        <v>230</v>
      </c>
      <c r="E50" s="18">
        <v>420</v>
      </c>
      <c r="F50" s="18">
        <v>60</v>
      </c>
      <c r="G50" s="18">
        <v>0</v>
      </c>
      <c r="H50" s="81">
        <f t="shared" si="14"/>
        <v>2860</v>
      </c>
      <c r="I50" s="15">
        <f t="shared" si="15"/>
        <v>2860</v>
      </c>
      <c r="J50" s="15">
        <f t="shared" si="16"/>
        <v>2800</v>
      </c>
      <c r="K50" s="84">
        <v>0.19</v>
      </c>
      <c r="L50" s="5"/>
      <c r="M50" s="35">
        <f>H50/250000</f>
        <v>0.01144</v>
      </c>
      <c r="N50" s="33">
        <f>G50/250000</f>
        <v>0</v>
      </c>
      <c r="O50" s="33">
        <f>F50/250000</f>
        <v>0.00024</v>
      </c>
      <c r="P50" s="36">
        <f>J50/250000</f>
        <v>0.0112</v>
      </c>
      <c r="Q50" s="26">
        <f t="shared" si="28"/>
        <v>0</v>
      </c>
      <c r="R50" s="27">
        <f t="shared" si="29"/>
        <v>0.02097902097902098</v>
      </c>
      <c r="S50" s="28">
        <f t="shared" si="30"/>
        <v>0.9790209790209791</v>
      </c>
      <c r="T50" s="26">
        <f t="shared" si="31"/>
        <v>0.7678571428571429</v>
      </c>
      <c r="U50" s="27">
        <f>D50/J50</f>
        <v>0.08214285714285714</v>
      </c>
      <c r="V50" s="28">
        <f t="shared" si="32"/>
        <v>0.15</v>
      </c>
      <c r="W50" s="26">
        <f>C50/250000</f>
        <v>0.0086</v>
      </c>
      <c r="X50" s="27">
        <f>D50/250000</f>
        <v>0.00092</v>
      </c>
      <c r="Y50" s="28">
        <f>E50/250000</f>
        <v>0.00168</v>
      </c>
      <c r="Z50" s="27"/>
      <c r="AA50" s="24"/>
    </row>
    <row r="51" spans="2:27" ht="15.75">
      <c r="B51" s="12" t="s">
        <v>16</v>
      </c>
      <c r="C51" s="18">
        <f>0.04*D31</f>
        <v>10000</v>
      </c>
      <c r="D51" s="16" t="s">
        <v>43</v>
      </c>
      <c r="E51" s="18">
        <f>967.5+337.5</f>
        <v>1305</v>
      </c>
      <c r="F51" s="18">
        <v>138</v>
      </c>
      <c r="G51" s="18">
        <f>0.02*D31</f>
        <v>5000</v>
      </c>
      <c r="H51" s="81">
        <f t="shared" si="14"/>
        <v>16443</v>
      </c>
      <c r="I51" s="15">
        <f t="shared" si="15"/>
        <v>11443</v>
      </c>
      <c r="J51" s="15">
        <f t="shared" si="16"/>
        <v>11305</v>
      </c>
      <c r="K51" s="84">
        <v>0.19</v>
      </c>
      <c r="L51" s="5"/>
      <c r="M51" s="35">
        <f t="shared" si="17"/>
        <v>0.065772</v>
      </c>
      <c r="N51" s="33">
        <f t="shared" si="18"/>
        <v>0.02</v>
      </c>
      <c r="O51" s="33">
        <f t="shared" si="19"/>
        <v>0.000552</v>
      </c>
      <c r="P51" s="36">
        <f t="shared" si="20"/>
        <v>0.04522</v>
      </c>
      <c r="Q51" s="26">
        <f t="shared" si="28"/>
        <v>0.3040807638508788</v>
      </c>
      <c r="R51" s="27">
        <f t="shared" si="29"/>
        <v>0.008392629082284254</v>
      </c>
      <c r="S51" s="28">
        <f t="shared" si="30"/>
        <v>0.687526607066837</v>
      </c>
      <c r="T51" s="26">
        <f t="shared" si="31"/>
        <v>0.8845643520566121</v>
      </c>
      <c r="U51" s="27"/>
      <c r="V51" s="28">
        <f t="shared" si="32"/>
        <v>0.11543564794338788</v>
      </c>
      <c r="W51" s="26">
        <f t="shared" si="21"/>
        <v>0.04</v>
      </c>
      <c r="X51" s="27"/>
      <c r="Y51" s="28">
        <f t="shared" si="22"/>
        <v>0.00522</v>
      </c>
      <c r="Z51" s="27"/>
      <c r="AA51" s="24"/>
    </row>
    <row r="52" spans="2:27" ht="15.75">
      <c r="B52" s="12" t="s">
        <v>9</v>
      </c>
      <c r="C52" s="18">
        <f>D31*0.06</f>
        <v>15000</v>
      </c>
      <c r="D52" s="16">
        <v>202</v>
      </c>
      <c r="E52" s="18">
        <f>347+443+2*316</f>
        <v>1422</v>
      </c>
      <c r="F52" s="18">
        <f>181+172</f>
        <v>353</v>
      </c>
      <c r="G52" s="18">
        <f>D31*(0.07+0.017)</f>
        <v>21750.000000000004</v>
      </c>
      <c r="H52" s="81">
        <f t="shared" si="14"/>
        <v>38727</v>
      </c>
      <c r="I52" s="15">
        <f t="shared" si="15"/>
        <v>16977</v>
      </c>
      <c r="J52" s="15">
        <f t="shared" si="16"/>
        <v>16624</v>
      </c>
      <c r="K52" s="84">
        <v>0.16</v>
      </c>
      <c r="L52" s="5"/>
      <c r="M52" s="35">
        <f t="shared" si="17"/>
        <v>0.154908</v>
      </c>
      <c r="N52" s="33">
        <f t="shared" si="18"/>
        <v>0.08700000000000001</v>
      </c>
      <c r="O52" s="33">
        <f t="shared" si="19"/>
        <v>0.001412</v>
      </c>
      <c r="P52" s="36">
        <f t="shared" si="20"/>
        <v>0.066496</v>
      </c>
      <c r="Q52" s="26">
        <f t="shared" si="28"/>
        <v>0.5616236734061508</v>
      </c>
      <c r="R52" s="27">
        <f t="shared" si="29"/>
        <v>0.009115087664936608</v>
      </c>
      <c r="S52" s="28">
        <f t="shared" si="30"/>
        <v>0.42926123892891266</v>
      </c>
      <c r="T52" s="26">
        <f t="shared" si="31"/>
        <v>0.9023099133782483</v>
      </c>
      <c r="U52" s="27">
        <f>D52/J52</f>
        <v>0.012151106833493745</v>
      </c>
      <c r="V52" s="28">
        <f t="shared" si="32"/>
        <v>0.08553897978825795</v>
      </c>
      <c r="W52" s="26">
        <f t="shared" si="21"/>
        <v>0.06</v>
      </c>
      <c r="X52" s="27">
        <f>D52/250000</f>
        <v>0.000808</v>
      </c>
      <c r="Y52" s="28">
        <f t="shared" si="22"/>
        <v>0.005688</v>
      </c>
      <c r="Z52" s="27"/>
      <c r="AA52" s="24"/>
    </row>
    <row r="53" spans="2:27" ht="15.75">
      <c r="B53" s="20" t="s">
        <v>10</v>
      </c>
      <c r="C53" s="21">
        <v>7800</v>
      </c>
      <c r="D53" s="21">
        <v>400</v>
      </c>
      <c r="E53" s="21">
        <v>0</v>
      </c>
      <c r="F53" s="21">
        <v>130</v>
      </c>
      <c r="G53" s="21">
        <v>8750</v>
      </c>
      <c r="H53" s="82">
        <f t="shared" si="14"/>
        <v>17080</v>
      </c>
      <c r="I53" s="22">
        <f t="shared" si="15"/>
        <v>8330</v>
      </c>
      <c r="J53" s="22">
        <f t="shared" si="16"/>
        <v>8200</v>
      </c>
      <c r="K53" s="85">
        <v>0.25</v>
      </c>
      <c r="L53" s="5"/>
      <c r="M53" s="35">
        <f t="shared" si="17"/>
        <v>0.06832</v>
      </c>
      <c r="N53" s="33">
        <f t="shared" si="18"/>
        <v>0.035</v>
      </c>
      <c r="O53" s="33">
        <f t="shared" si="19"/>
        <v>0.00052</v>
      </c>
      <c r="P53" s="36">
        <f t="shared" si="20"/>
        <v>0.0328</v>
      </c>
      <c r="Q53" s="26">
        <f t="shared" si="28"/>
        <v>0.5122950819672131</v>
      </c>
      <c r="R53" s="27">
        <f t="shared" si="29"/>
        <v>0.007611241217798595</v>
      </c>
      <c r="S53" s="28">
        <f t="shared" si="30"/>
        <v>0.48009367681498827</v>
      </c>
      <c r="T53" s="44">
        <f t="shared" si="31"/>
        <v>0.9512195121951219</v>
      </c>
      <c r="U53" s="27">
        <f>D53/J53</f>
        <v>0.04878048780487805</v>
      </c>
      <c r="V53" s="45">
        <f t="shared" si="32"/>
        <v>0</v>
      </c>
      <c r="W53" s="44">
        <f t="shared" si="21"/>
        <v>0.0312</v>
      </c>
      <c r="X53" s="27">
        <f>D53/250000</f>
        <v>0.0016</v>
      </c>
      <c r="Y53" s="45">
        <f t="shared" si="22"/>
        <v>0</v>
      </c>
      <c r="Z53" s="55"/>
      <c r="AA53" s="24"/>
    </row>
    <row r="54" spans="2:27" ht="15.75">
      <c r="B54" s="42" t="s">
        <v>27</v>
      </c>
      <c r="C54" s="70">
        <f>(SUM(C34:C53))/D55</f>
        <v>8441.925</v>
      </c>
      <c r="D54" s="70">
        <f>(SUM(D34:D53))/D55</f>
        <v>318.85</v>
      </c>
      <c r="E54" s="70">
        <f>(SUM(E34:E53))/D55</f>
        <v>1923.6090000000004</v>
      </c>
      <c r="F54" s="70">
        <f>(SUM(F34:F53))/D55</f>
        <v>985.2855</v>
      </c>
      <c r="G54" s="70">
        <f>(SUM(G34:G53))/D55</f>
        <v>10873.7</v>
      </c>
      <c r="H54" s="82">
        <f>(SUM(H34:H53))/D55</f>
        <v>22543.3695</v>
      </c>
      <c r="I54" s="70">
        <f>(SUM(I34:I53))/D55</f>
        <v>11669.6695</v>
      </c>
      <c r="J54" s="70">
        <f>(SUM(J34:J53))/D55</f>
        <v>10684.384</v>
      </c>
      <c r="K54" s="41"/>
      <c r="L54" s="29" t="s">
        <v>27</v>
      </c>
      <c r="M54" s="52">
        <f>(SUM(M34:M53))/D55</f>
        <v>0.090173478</v>
      </c>
      <c r="N54" s="53">
        <f>(SUM(N34:N53))/D55</f>
        <v>0.043494800000000014</v>
      </c>
      <c r="O54" s="53">
        <f>(SUM(O34:O53))/D55</f>
        <v>0.003941142</v>
      </c>
      <c r="P54" s="53">
        <f>(SUM(P34:P53))/D55</f>
        <v>0.042737536000000007</v>
      </c>
      <c r="Q54" s="52">
        <f>(SUM(Q34:Q53))/D55</f>
        <v>0.4044921469095814</v>
      </c>
      <c r="R54" s="53">
        <f>(SUM(R34:R53))/D55</f>
        <v>0.04566726866841418</v>
      </c>
      <c r="S54" s="53">
        <f>(SUM(S34:S53))/D55</f>
        <v>0.5498405844220045</v>
      </c>
      <c r="T54" s="52">
        <f>(SUM(T34:T53))/D55</f>
        <v>0.7655552224334682</v>
      </c>
      <c r="U54" s="53">
        <f>(SUM(U34:U53))/D55</f>
        <v>0.043694716681641474</v>
      </c>
      <c r="V54" s="53">
        <f>(SUM(V34:V53))/D55</f>
        <v>0.19075006088489027</v>
      </c>
      <c r="W54" s="52">
        <f>(SUM(W34:W53))/D55</f>
        <v>0.033767700000000005</v>
      </c>
      <c r="X54" s="53">
        <f>(SUM(X34:X53))/I55</f>
        <v>0.0019621538461538465</v>
      </c>
      <c r="Y54" s="54">
        <f>(SUM(Y34:Y53))/D55</f>
        <v>0.007694435999999999</v>
      </c>
      <c r="Z54" s="32"/>
      <c r="AA54" s="24"/>
    </row>
    <row r="55" spans="2:27" ht="15.75">
      <c r="B55" s="64"/>
      <c r="C55" s="65" t="s">
        <v>44</v>
      </c>
      <c r="D55" s="66">
        <v>20</v>
      </c>
      <c r="E55" s="67"/>
      <c r="F55" s="65"/>
      <c r="G55" s="65"/>
      <c r="H55" s="65" t="s">
        <v>52</v>
      </c>
      <c r="I55" s="66">
        <v>13</v>
      </c>
      <c r="J55" s="68"/>
      <c r="K55" s="41"/>
      <c r="L55" s="3"/>
      <c r="M55" s="3"/>
      <c r="N55" s="3"/>
      <c r="O55" s="3"/>
      <c r="P55" s="3"/>
      <c r="T55" s="50" t="s">
        <v>51</v>
      </c>
      <c r="U55" s="31">
        <f>(SUM(U34:U53))/I55</f>
        <v>0.06722264104867919</v>
      </c>
      <c r="W55" s="47"/>
      <c r="X55" s="46"/>
      <c r="Y55" s="47"/>
      <c r="Z55" s="49"/>
      <c r="AA55" s="24"/>
    </row>
    <row r="56" spans="2:27" ht="15.75">
      <c r="B56" s="73"/>
      <c r="C56" s="76"/>
      <c r="D56" s="77"/>
      <c r="E56" s="18"/>
      <c r="F56" s="78"/>
      <c r="G56" s="78"/>
      <c r="H56" s="78"/>
      <c r="I56" s="77"/>
      <c r="J56" s="2"/>
      <c r="K56" s="2"/>
      <c r="L56" s="3"/>
      <c r="M56" s="3"/>
      <c r="N56" s="3"/>
      <c r="O56" s="3"/>
      <c r="P56" s="3"/>
      <c r="T56" s="50"/>
      <c r="U56" s="31"/>
      <c r="W56" s="49"/>
      <c r="X56" s="32"/>
      <c r="Y56" s="49"/>
      <c r="Z56" s="49"/>
      <c r="AA56" s="49"/>
    </row>
    <row r="57" spans="2:27" ht="15.75">
      <c r="B57" t="s">
        <v>20</v>
      </c>
      <c r="C57" s="17"/>
      <c r="L57" s="3"/>
      <c r="M57" s="3"/>
      <c r="N57" s="3"/>
      <c r="O57" s="3"/>
      <c r="P57" s="3"/>
      <c r="V57" s="51"/>
      <c r="W57" s="48"/>
      <c r="Y57" s="48"/>
      <c r="Z57" s="48"/>
      <c r="AA57" s="48"/>
    </row>
    <row r="58" spans="2:27" ht="12.75">
      <c r="B58" t="s">
        <v>41</v>
      </c>
      <c r="U58" s="31"/>
      <c r="W58" s="49"/>
      <c r="X58" s="32"/>
      <c r="Y58" s="49"/>
      <c r="Z58" s="49"/>
      <c r="AA58" s="49"/>
    </row>
    <row r="59" spans="2:27" ht="12.75">
      <c r="B59" t="s">
        <v>55</v>
      </c>
      <c r="U59" s="31"/>
      <c r="W59" s="49"/>
      <c r="X59" s="32"/>
      <c r="Y59" s="49"/>
      <c r="Z59" s="49"/>
      <c r="AA59" s="49"/>
    </row>
    <row r="60" spans="2:21" ht="12.75">
      <c r="B60" s="79" t="s">
        <v>54</v>
      </c>
      <c r="U60" s="31"/>
    </row>
    <row r="61" spans="2:21" ht="12.75">
      <c r="B61" t="s">
        <v>53</v>
      </c>
      <c r="U61" s="31"/>
    </row>
    <row r="62" spans="2:21" ht="12.75">
      <c r="B62" s="73" t="s">
        <v>49</v>
      </c>
      <c r="U62" s="31"/>
    </row>
    <row r="63" spans="2:21" ht="12.75">
      <c r="B63" s="73" t="s">
        <v>184</v>
      </c>
      <c r="U63" s="31"/>
    </row>
    <row r="64" ht="12.75">
      <c r="B64" s="73" t="s">
        <v>50</v>
      </c>
    </row>
    <row r="65" spans="2:26" ht="12.75">
      <c r="B65" s="7"/>
      <c r="C65" s="8"/>
      <c r="D65" s="9">
        <v>500000</v>
      </c>
      <c r="E65" s="10" t="s">
        <v>57</v>
      </c>
      <c r="F65" s="8"/>
      <c r="G65" s="8"/>
      <c r="H65" s="8"/>
      <c r="I65" s="8"/>
      <c r="J65" s="8"/>
      <c r="K65" s="11"/>
      <c r="M65" s="34"/>
      <c r="N65" s="40" t="s">
        <v>28</v>
      </c>
      <c r="O65" s="30"/>
      <c r="P65" s="11"/>
      <c r="Q65" s="7"/>
      <c r="R65" s="30" t="s">
        <v>21</v>
      </c>
      <c r="S65" s="11"/>
      <c r="T65" s="7"/>
      <c r="U65" s="30" t="s">
        <v>24</v>
      </c>
      <c r="V65" s="11"/>
      <c r="W65" s="7"/>
      <c r="X65" s="30" t="s">
        <v>39</v>
      </c>
      <c r="Y65" s="11"/>
      <c r="Z65" s="2"/>
    </row>
    <row r="66" spans="2:26" ht="12.75">
      <c r="B66" s="12"/>
      <c r="C66" s="2"/>
      <c r="D66" s="2"/>
      <c r="E66" s="2"/>
      <c r="F66" s="2"/>
      <c r="G66" s="2"/>
      <c r="H66" s="2"/>
      <c r="I66" s="2"/>
      <c r="J66" s="2"/>
      <c r="K66" s="13"/>
      <c r="M66" s="37"/>
      <c r="N66" s="38" t="s">
        <v>30</v>
      </c>
      <c r="O66" s="38"/>
      <c r="P66" s="39"/>
      <c r="Q66" s="12"/>
      <c r="R66" s="38" t="s">
        <v>30</v>
      </c>
      <c r="S66" s="13"/>
      <c r="T66" s="12"/>
      <c r="U66" s="38" t="s">
        <v>30</v>
      </c>
      <c r="V66" s="13"/>
      <c r="W66" s="12"/>
      <c r="X66" s="38" t="s">
        <v>30</v>
      </c>
      <c r="Y66" s="13"/>
      <c r="Z66" s="2"/>
    </row>
    <row r="67" spans="2:26" ht="12.75">
      <c r="B67" s="56" t="s">
        <v>11</v>
      </c>
      <c r="C67" s="58" t="s">
        <v>40</v>
      </c>
      <c r="D67" s="58" t="s">
        <v>32</v>
      </c>
      <c r="E67" s="58" t="s">
        <v>46</v>
      </c>
      <c r="F67" s="58" t="s">
        <v>33</v>
      </c>
      <c r="G67" s="58" t="s">
        <v>17</v>
      </c>
      <c r="H67" s="58" t="s">
        <v>34</v>
      </c>
      <c r="I67" s="58" t="s">
        <v>36</v>
      </c>
      <c r="J67" s="58" t="s">
        <v>35</v>
      </c>
      <c r="K67" s="59" t="s">
        <v>18</v>
      </c>
      <c r="L67" s="23"/>
      <c r="M67" s="57" t="s">
        <v>37</v>
      </c>
      <c r="N67" s="58" t="s">
        <v>22</v>
      </c>
      <c r="O67" s="58" t="s">
        <v>23</v>
      </c>
      <c r="P67" s="60" t="s">
        <v>38</v>
      </c>
      <c r="Q67" s="61" t="s">
        <v>22</v>
      </c>
      <c r="R67" s="62" t="s">
        <v>23</v>
      </c>
      <c r="S67" s="60" t="s">
        <v>38</v>
      </c>
      <c r="T67" s="61" t="s">
        <v>25</v>
      </c>
      <c r="U67" s="62" t="s">
        <v>26</v>
      </c>
      <c r="V67" s="60" t="s">
        <v>47</v>
      </c>
      <c r="W67" s="61" t="s">
        <v>25</v>
      </c>
      <c r="X67" s="62" t="s">
        <v>26</v>
      </c>
      <c r="Y67" s="60" t="s">
        <v>47</v>
      </c>
      <c r="Z67" s="24"/>
    </row>
    <row r="68" spans="2:26" ht="12.75">
      <c r="B68" s="14" t="s">
        <v>12</v>
      </c>
      <c r="C68" s="15">
        <v>30000</v>
      </c>
      <c r="D68" s="16" t="s">
        <v>43</v>
      </c>
      <c r="E68" s="15">
        <v>2900</v>
      </c>
      <c r="F68" s="15">
        <f>D65*0.022</f>
        <v>11000</v>
      </c>
      <c r="G68" s="15">
        <f>D65*0.035</f>
        <v>17500</v>
      </c>
      <c r="H68" s="80">
        <f>SUM(C68:G68)</f>
        <v>61400</v>
      </c>
      <c r="I68" s="15">
        <f>SUM(C68:F68)</f>
        <v>43900</v>
      </c>
      <c r="J68" s="15">
        <f>SUM(C68:E68)</f>
        <v>32900</v>
      </c>
      <c r="K68" s="83">
        <v>0.2</v>
      </c>
      <c r="L68" s="4"/>
      <c r="M68" s="35">
        <f>H68/500000</f>
        <v>0.1228</v>
      </c>
      <c r="N68" s="33">
        <f>G68/500000</f>
        <v>0.035</v>
      </c>
      <c r="O68" s="33">
        <f>F68/500000</f>
        <v>0.022</v>
      </c>
      <c r="P68" s="36">
        <f>J68/500000</f>
        <v>0.0658</v>
      </c>
      <c r="Q68" s="26">
        <f aca="true" t="shared" si="33" ref="Q68:Q87">G68/H68</f>
        <v>0.28501628664495116</v>
      </c>
      <c r="R68" s="27">
        <f>F68/H68</f>
        <v>0.1791530944625407</v>
      </c>
      <c r="S68" s="28">
        <f>J68/H68</f>
        <v>0.5358306188925082</v>
      </c>
      <c r="T68" s="26">
        <f>C68/J68</f>
        <v>0.9118541033434651</v>
      </c>
      <c r="U68" s="27"/>
      <c r="V68" s="28">
        <f>E68/J68</f>
        <v>0.08814589665653495</v>
      </c>
      <c r="W68" s="26">
        <f>C68/500000</f>
        <v>0.06</v>
      </c>
      <c r="X68" s="27"/>
      <c r="Y68" s="28">
        <f>E68/500000</f>
        <v>0.0058</v>
      </c>
      <c r="Z68" s="27"/>
    </row>
    <row r="69" spans="2:26" ht="15.75">
      <c r="B69" s="14" t="s">
        <v>13</v>
      </c>
      <c r="C69" s="15">
        <f>D65*0.03</f>
        <v>15000</v>
      </c>
      <c r="D69" s="16" t="s">
        <v>43</v>
      </c>
      <c r="E69" s="15">
        <f>2591.65+1017.55</f>
        <v>3609.2</v>
      </c>
      <c r="F69" s="15">
        <f>1650+500</f>
        <v>2150</v>
      </c>
      <c r="G69" s="15">
        <f>D65*0.115+5500</f>
        <v>63000</v>
      </c>
      <c r="H69" s="81">
        <f aca="true" t="shared" si="34" ref="H69:H87">SUM(C69:G69)</f>
        <v>83759.2</v>
      </c>
      <c r="I69" s="15">
        <f aca="true" t="shared" si="35" ref="I69:I87">SUM(C69:F69)</f>
        <v>20759.2</v>
      </c>
      <c r="J69" s="15">
        <f aca="true" t="shared" si="36" ref="J69:J87">SUM(C69:E69)</f>
        <v>18609.2</v>
      </c>
      <c r="K69" s="84">
        <v>0.21</v>
      </c>
      <c r="L69" s="5"/>
      <c r="M69" s="35">
        <f aca="true" t="shared" si="37" ref="M69:M87">H69/500000</f>
        <v>0.16751839999999998</v>
      </c>
      <c r="N69" s="33">
        <f aca="true" t="shared" si="38" ref="N69:N87">G69/500000</f>
        <v>0.126</v>
      </c>
      <c r="O69" s="33">
        <f aca="true" t="shared" si="39" ref="O69:O87">F69/500000</f>
        <v>0.0043</v>
      </c>
      <c r="P69" s="36">
        <f aca="true" t="shared" si="40" ref="P69:P87">J69/500000</f>
        <v>0.0372184</v>
      </c>
      <c r="Q69" s="26">
        <f t="shared" si="33"/>
        <v>0.75215618105235</v>
      </c>
      <c r="R69" s="27">
        <f>F69/H69</f>
        <v>0.02566882205178655</v>
      </c>
      <c r="S69" s="28">
        <f>J69/H69</f>
        <v>0.2221749968958634</v>
      </c>
      <c r="T69" s="26">
        <f>C69/J69</f>
        <v>0.806052920061045</v>
      </c>
      <c r="U69" s="27"/>
      <c r="V69" s="28">
        <f>E69/J69</f>
        <v>0.1939470799389549</v>
      </c>
      <c r="W69" s="26">
        <f aca="true" t="shared" si="41" ref="W69:W87">C69/500000</f>
        <v>0.03</v>
      </c>
      <c r="X69" s="27"/>
      <c r="Y69" s="28">
        <f aca="true" t="shared" si="42" ref="Y69:Y87">E69/500000</f>
        <v>0.0072184</v>
      </c>
      <c r="Z69" s="27"/>
    </row>
    <row r="70" spans="2:26" ht="15.75">
      <c r="B70" s="14" t="s">
        <v>154</v>
      </c>
      <c r="C70" s="15">
        <v>15000</v>
      </c>
      <c r="D70" s="16">
        <v>500</v>
      </c>
      <c r="E70" s="15">
        <v>1000</v>
      </c>
      <c r="F70" s="15">
        <v>17</v>
      </c>
      <c r="G70" s="15">
        <v>0</v>
      </c>
      <c r="H70" s="81">
        <f>SUM(C70:G70)</f>
        <v>16517</v>
      </c>
      <c r="I70" s="15">
        <f>SUM(C70:F70)</f>
        <v>16517</v>
      </c>
      <c r="J70" s="15">
        <f>SUM(C70:E70)</f>
        <v>16500</v>
      </c>
      <c r="K70" s="84">
        <v>0.19</v>
      </c>
      <c r="L70" s="5"/>
      <c r="M70" s="35">
        <f>H70/500000</f>
        <v>0.033034</v>
      </c>
      <c r="N70" s="33">
        <f>G70/500000</f>
        <v>0</v>
      </c>
      <c r="O70" s="33">
        <f>F70/500000</f>
        <v>3.4E-05</v>
      </c>
      <c r="P70" s="36">
        <f>J70/500000</f>
        <v>0.033</v>
      </c>
      <c r="Q70" s="26">
        <f t="shared" si="33"/>
        <v>0</v>
      </c>
      <c r="R70" s="27">
        <f>F70/H70</f>
        <v>0.0010292425985348429</v>
      </c>
      <c r="S70" s="28">
        <f>J70/H70</f>
        <v>0.9989707574014651</v>
      </c>
      <c r="T70" s="26">
        <f>C70/J70</f>
        <v>0.9090909090909091</v>
      </c>
      <c r="U70" s="27">
        <f>D70/J70</f>
        <v>0.030303030303030304</v>
      </c>
      <c r="V70" s="28">
        <f>E70/J70</f>
        <v>0.06060606060606061</v>
      </c>
      <c r="W70" s="26">
        <f>C70/500000</f>
        <v>0.03</v>
      </c>
      <c r="X70" s="27">
        <f>D70/500000</f>
        <v>0.001</v>
      </c>
      <c r="Y70" s="28">
        <f>E70/500000</f>
        <v>0.002</v>
      </c>
      <c r="Z70" s="27"/>
    </row>
    <row r="71" spans="2:26" ht="15.75">
      <c r="B71" s="12" t="s">
        <v>14</v>
      </c>
      <c r="C71" s="18">
        <v>13747</v>
      </c>
      <c r="D71" s="18">
        <v>1020</v>
      </c>
      <c r="E71" s="18">
        <v>1013</v>
      </c>
      <c r="F71" s="18">
        <f>3187+7687</f>
        <v>10874</v>
      </c>
      <c r="G71" s="18">
        <v>0</v>
      </c>
      <c r="H71" s="81">
        <f t="shared" si="34"/>
        <v>26654</v>
      </c>
      <c r="I71" s="15">
        <f t="shared" si="35"/>
        <v>26654</v>
      </c>
      <c r="J71" s="15">
        <f t="shared" si="36"/>
        <v>15780</v>
      </c>
      <c r="K71" s="84">
        <v>0.25</v>
      </c>
      <c r="L71" s="5"/>
      <c r="M71" s="35">
        <f t="shared" si="37"/>
        <v>0.053308</v>
      </c>
      <c r="N71" s="33">
        <f t="shared" si="38"/>
        <v>0</v>
      </c>
      <c r="O71" s="33">
        <f t="shared" si="39"/>
        <v>0.021748</v>
      </c>
      <c r="P71" s="36">
        <f t="shared" si="40"/>
        <v>0.03156</v>
      </c>
      <c r="Q71" s="26">
        <f t="shared" si="33"/>
        <v>0</v>
      </c>
      <c r="R71" s="27">
        <f>F71/H71</f>
        <v>0.40796878517295715</v>
      </c>
      <c r="S71" s="28">
        <f>J71/H71</f>
        <v>0.5920312148270428</v>
      </c>
      <c r="T71" s="44">
        <f>C71/J71</f>
        <v>0.8711660329531052</v>
      </c>
      <c r="U71" s="27">
        <f>D71/J71</f>
        <v>0.06463878326996197</v>
      </c>
      <c r="V71" s="45">
        <f>E71/J71</f>
        <v>0.06419518377693283</v>
      </c>
      <c r="W71" s="44">
        <f t="shared" si="41"/>
        <v>0.027494</v>
      </c>
      <c r="X71" s="27">
        <f>D71/500000</f>
        <v>0.00204</v>
      </c>
      <c r="Y71" s="45">
        <f t="shared" si="42"/>
        <v>0.002026</v>
      </c>
      <c r="Z71" s="55"/>
    </row>
    <row r="72" spans="2:26" ht="15.75">
      <c r="B72" s="12" t="s">
        <v>0</v>
      </c>
      <c r="C72" s="18">
        <v>7001</v>
      </c>
      <c r="D72" s="18">
        <f>600*1.5</f>
        <v>900</v>
      </c>
      <c r="E72" s="18">
        <v>1850</v>
      </c>
      <c r="F72" s="18">
        <f>220*1.5</f>
        <v>330</v>
      </c>
      <c r="G72" s="18">
        <v>15075</v>
      </c>
      <c r="H72" s="81">
        <f t="shared" si="34"/>
        <v>25156</v>
      </c>
      <c r="I72" s="15">
        <f t="shared" si="35"/>
        <v>10081</v>
      </c>
      <c r="J72" s="15">
        <f t="shared" si="36"/>
        <v>9751</v>
      </c>
      <c r="K72" s="84">
        <v>0.175</v>
      </c>
      <c r="L72" s="5"/>
      <c r="M72" s="35">
        <f t="shared" si="37"/>
        <v>0.050312</v>
      </c>
      <c r="N72" s="33">
        <f t="shared" si="38"/>
        <v>0.03015</v>
      </c>
      <c r="O72" s="33">
        <f t="shared" si="39"/>
        <v>0.00066</v>
      </c>
      <c r="P72" s="36">
        <f t="shared" si="40"/>
        <v>0.019502</v>
      </c>
      <c r="Q72" s="26">
        <f t="shared" si="33"/>
        <v>0.5992606137700748</v>
      </c>
      <c r="R72" s="27">
        <f>F72/H72</f>
        <v>0.01311814278899666</v>
      </c>
      <c r="S72" s="28">
        <f>J72/H72</f>
        <v>0.38762124344092863</v>
      </c>
      <c r="T72" s="26">
        <f>C72/J72</f>
        <v>0.717977643318634</v>
      </c>
      <c r="U72" s="27">
        <f>D72/J72</f>
        <v>0.09229822582299252</v>
      </c>
      <c r="V72" s="28">
        <f>E72/J72</f>
        <v>0.1897241308583735</v>
      </c>
      <c r="W72" s="26">
        <f t="shared" si="41"/>
        <v>0.014002</v>
      </c>
      <c r="X72" s="27">
        <f>D72/500000</f>
        <v>0.0018</v>
      </c>
      <c r="Y72" s="28">
        <f t="shared" si="42"/>
        <v>0.0037</v>
      </c>
      <c r="Z72" s="27"/>
    </row>
    <row r="73" spans="2:26" ht="15.75">
      <c r="B73" s="12" t="s">
        <v>1</v>
      </c>
      <c r="C73" s="18">
        <f>D65*0.03125</f>
        <v>15625</v>
      </c>
      <c r="D73" s="18">
        <v>600</v>
      </c>
      <c r="E73" s="18">
        <f>353.2+77</f>
        <v>430.2</v>
      </c>
      <c r="F73" s="18">
        <f>65+44</f>
        <v>109</v>
      </c>
      <c r="G73" s="18">
        <v>20000</v>
      </c>
      <c r="H73" s="81">
        <f t="shared" si="34"/>
        <v>36764.2</v>
      </c>
      <c r="I73" s="15">
        <f t="shared" si="35"/>
        <v>16764.2</v>
      </c>
      <c r="J73" s="15">
        <f t="shared" si="36"/>
        <v>16655.2</v>
      </c>
      <c r="K73" s="84">
        <v>0.28</v>
      </c>
      <c r="L73" s="5"/>
      <c r="M73" s="35">
        <f t="shared" si="37"/>
        <v>0.0735284</v>
      </c>
      <c r="N73" s="33">
        <f t="shared" si="38"/>
        <v>0.04</v>
      </c>
      <c r="O73" s="33">
        <f t="shared" si="39"/>
        <v>0.000218</v>
      </c>
      <c r="P73" s="36">
        <f t="shared" si="40"/>
        <v>0.033310400000000004</v>
      </c>
      <c r="Q73" s="26">
        <f t="shared" si="33"/>
        <v>0.5440074855430012</v>
      </c>
      <c r="R73" s="27">
        <f aca="true" t="shared" si="43" ref="R73:R80">F73/H73</f>
        <v>0.002964840796209356</v>
      </c>
      <c r="S73" s="28">
        <f aca="true" t="shared" si="44" ref="S73:S80">J73/H73</f>
        <v>0.4530276736607896</v>
      </c>
      <c r="T73" s="44">
        <f aca="true" t="shared" si="45" ref="T73:T80">C73/J73</f>
        <v>0.938145444065517</v>
      </c>
      <c r="U73" s="27">
        <f>D73/J73</f>
        <v>0.03602478505211586</v>
      </c>
      <c r="V73" s="45">
        <f aca="true" t="shared" si="46" ref="V73:V80">E73/J73</f>
        <v>0.025829770882367067</v>
      </c>
      <c r="W73" s="44">
        <f t="shared" si="41"/>
        <v>0.03125</v>
      </c>
      <c r="X73" s="27">
        <f>D73/500000</f>
        <v>0.0012</v>
      </c>
      <c r="Y73" s="45">
        <f t="shared" si="42"/>
        <v>0.0008604</v>
      </c>
      <c r="Z73" s="55"/>
    </row>
    <row r="74" spans="2:26" ht="15.75">
      <c r="B74" s="12" t="s">
        <v>2</v>
      </c>
      <c r="C74" s="18">
        <f>D65*0.06</f>
        <v>30000</v>
      </c>
      <c r="D74" s="16">
        <v>500</v>
      </c>
      <c r="E74" s="18">
        <v>5938</v>
      </c>
      <c r="F74" s="18">
        <f>D65*0.0015</f>
        <v>750</v>
      </c>
      <c r="G74" s="18">
        <f>D65*0.0506</f>
        <v>25300</v>
      </c>
      <c r="H74" s="81">
        <f t="shared" si="34"/>
        <v>62488</v>
      </c>
      <c r="I74" s="15">
        <f t="shared" si="35"/>
        <v>37188</v>
      </c>
      <c r="J74" s="15">
        <f t="shared" si="36"/>
        <v>36438</v>
      </c>
      <c r="K74" s="84">
        <v>0.196</v>
      </c>
      <c r="L74" s="5"/>
      <c r="M74" s="35">
        <f t="shared" si="37"/>
        <v>0.124976</v>
      </c>
      <c r="N74" s="33">
        <f t="shared" si="38"/>
        <v>0.0506</v>
      </c>
      <c r="O74" s="33">
        <f t="shared" si="39"/>
        <v>0.0015</v>
      </c>
      <c r="P74" s="36">
        <f t="shared" si="40"/>
        <v>0.072876</v>
      </c>
      <c r="Q74" s="26">
        <f t="shared" si="33"/>
        <v>0.40487773652541287</v>
      </c>
      <c r="R74" s="27">
        <f t="shared" si="43"/>
        <v>0.012002304442452951</v>
      </c>
      <c r="S74" s="28">
        <f t="shared" si="44"/>
        <v>0.5831199590321342</v>
      </c>
      <c r="T74" s="26">
        <f t="shared" si="45"/>
        <v>0.8233163181294253</v>
      </c>
      <c r="U74" s="27">
        <f>D74/J74</f>
        <v>0.013721938635490422</v>
      </c>
      <c r="V74" s="28">
        <f t="shared" si="46"/>
        <v>0.16296174323508425</v>
      </c>
      <c r="W74" s="26">
        <f t="shared" si="41"/>
        <v>0.06</v>
      </c>
      <c r="X74" s="27">
        <f>D74/500000</f>
        <v>0.001</v>
      </c>
      <c r="Y74" s="28">
        <f t="shared" si="42"/>
        <v>0.011876</v>
      </c>
      <c r="Z74" s="27"/>
    </row>
    <row r="75" spans="2:26" ht="15.75">
      <c r="B75" s="12" t="s">
        <v>3</v>
      </c>
      <c r="C75" s="18">
        <f>D65*0.04</f>
        <v>20000</v>
      </c>
      <c r="D75" s="16" t="s">
        <v>43</v>
      </c>
      <c r="E75" s="18">
        <f>2482+393</f>
        <v>2875</v>
      </c>
      <c r="F75" s="18">
        <v>2018</v>
      </c>
      <c r="G75" s="18">
        <v>17500</v>
      </c>
      <c r="H75" s="81">
        <f t="shared" si="34"/>
        <v>42393</v>
      </c>
      <c r="I75" s="15">
        <f t="shared" si="35"/>
        <v>24893</v>
      </c>
      <c r="J75" s="15">
        <f t="shared" si="36"/>
        <v>22875</v>
      </c>
      <c r="K75" s="84">
        <v>0.16</v>
      </c>
      <c r="L75" s="5"/>
      <c r="M75" s="35">
        <f t="shared" si="37"/>
        <v>0.084786</v>
      </c>
      <c r="N75" s="33">
        <f t="shared" si="38"/>
        <v>0.035</v>
      </c>
      <c r="O75" s="33">
        <f t="shared" si="39"/>
        <v>0.004036</v>
      </c>
      <c r="P75" s="36">
        <f t="shared" si="40"/>
        <v>0.04575</v>
      </c>
      <c r="Q75" s="26">
        <f t="shared" si="33"/>
        <v>0.4128040006604864</v>
      </c>
      <c r="R75" s="27">
        <f t="shared" si="43"/>
        <v>0.04760219847616352</v>
      </c>
      <c r="S75" s="28">
        <f t="shared" si="44"/>
        <v>0.5395938008633501</v>
      </c>
      <c r="T75" s="26">
        <f t="shared" si="45"/>
        <v>0.8743169398907104</v>
      </c>
      <c r="U75" s="27"/>
      <c r="V75" s="28">
        <f t="shared" si="46"/>
        <v>0.12568306010928962</v>
      </c>
      <c r="W75" s="26">
        <f t="shared" si="41"/>
        <v>0.04</v>
      </c>
      <c r="X75" s="27"/>
      <c r="Y75" s="28">
        <f t="shared" si="42"/>
        <v>0.00575</v>
      </c>
      <c r="Z75" s="27"/>
    </row>
    <row r="76" spans="2:26" ht="15.75">
      <c r="B76" s="12" t="s">
        <v>15</v>
      </c>
      <c r="C76" s="18">
        <f>D65*0.04</f>
        <v>20000</v>
      </c>
      <c r="D76" s="18">
        <v>500</v>
      </c>
      <c r="E76" s="18">
        <f>D65*(0.012+2*0.005)+200+2*220+500</f>
        <v>12140</v>
      </c>
      <c r="F76" s="18">
        <f>2390+3890</f>
        <v>6280</v>
      </c>
      <c r="G76" s="18">
        <v>56300</v>
      </c>
      <c r="H76" s="81">
        <f t="shared" si="34"/>
        <v>95220</v>
      </c>
      <c r="I76" s="15">
        <f t="shared" si="35"/>
        <v>38920</v>
      </c>
      <c r="J76" s="15">
        <f t="shared" si="36"/>
        <v>32640</v>
      </c>
      <c r="K76" s="84">
        <v>0.19</v>
      </c>
      <c r="L76" s="5"/>
      <c r="M76" s="35">
        <f t="shared" si="37"/>
        <v>0.19044</v>
      </c>
      <c r="N76" s="33">
        <f t="shared" si="38"/>
        <v>0.1126</v>
      </c>
      <c r="O76" s="33">
        <f>F76/500000</f>
        <v>0.01256</v>
      </c>
      <c r="P76" s="36">
        <f>J76/500000</f>
        <v>0.06528</v>
      </c>
      <c r="Q76" s="26">
        <f t="shared" si="33"/>
        <v>0.5912623398445704</v>
      </c>
      <c r="R76" s="27">
        <f t="shared" si="43"/>
        <v>0.06595253098088637</v>
      </c>
      <c r="S76" s="28">
        <f t="shared" si="44"/>
        <v>0.3427851291745432</v>
      </c>
      <c r="T76" s="26">
        <f t="shared" si="45"/>
        <v>0.6127450980392157</v>
      </c>
      <c r="U76" s="27">
        <f>D76/J76</f>
        <v>0.015318627450980392</v>
      </c>
      <c r="V76" s="28">
        <f t="shared" si="46"/>
        <v>0.37193627450980393</v>
      </c>
      <c r="W76" s="26">
        <f>C76/500000</f>
        <v>0.04</v>
      </c>
      <c r="X76" s="27">
        <f>D76/500000</f>
        <v>0.001</v>
      </c>
      <c r="Y76" s="28">
        <f>E76/500000</f>
        <v>0.02428</v>
      </c>
      <c r="Z76" s="27"/>
    </row>
    <row r="77" spans="2:26" ht="15.75">
      <c r="B77" s="12" t="s">
        <v>19</v>
      </c>
      <c r="C77" s="18">
        <f>0.03*D65</f>
        <v>15000</v>
      </c>
      <c r="D77" s="16" t="s">
        <v>43</v>
      </c>
      <c r="E77" s="18">
        <v>5350</v>
      </c>
      <c r="F77" s="18">
        <f>18+44</f>
        <v>62</v>
      </c>
      <c r="G77" s="18">
        <v>29420</v>
      </c>
      <c r="H77" s="81">
        <f t="shared" si="34"/>
        <v>49832</v>
      </c>
      <c r="I77" s="15">
        <f t="shared" si="35"/>
        <v>20412</v>
      </c>
      <c r="J77" s="15">
        <f t="shared" si="36"/>
        <v>20350</v>
      </c>
      <c r="K77" s="84">
        <v>0.2</v>
      </c>
      <c r="L77" s="5"/>
      <c r="M77" s="35">
        <f t="shared" si="37"/>
        <v>0.099664</v>
      </c>
      <c r="N77" s="33">
        <f t="shared" si="38"/>
        <v>0.05884</v>
      </c>
      <c r="O77" s="33">
        <f t="shared" si="39"/>
        <v>0.000124</v>
      </c>
      <c r="P77" s="36">
        <f t="shared" si="40"/>
        <v>0.0407</v>
      </c>
      <c r="Q77" s="26">
        <f t="shared" si="33"/>
        <v>0.5903836891956975</v>
      </c>
      <c r="R77" s="27">
        <f t="shared" si="43"/>
        <v>0.0012441804462995666</v>
      </c>
      <c r="S77" s="28">
        <f t="shared" si="44"/>
        <v>0.4083721303580029</v>
      </c>
      <c r="T77" s="26">
        <f t="shared" si="45"/>
        <v>0.7371007371007371</v>
      </c>
      <c r="U77" s="27"/>
      <c r="V77" s="28">
        <f t="shared" si="46"/>
        <v>0.2628992628992629</v>
      </c>
      <c r="W77" s="26">
        <f>C77/500000</f>
        <v>0.03</v>
      </c>
      <c r="X77" s="27"/>
      <c r="Y77" s="28">
        <f t="shared" si="42"/>
        <v>0.0107</v>
      </c>
      <c r="Z77" s="27"/>
    </row>
    <row r="78" spans="2:26" ht="15.75">
      <c r="B78" s="12" t="s">
        <v>4</v>
      </c>
      <c r="C78" s="18">
        <v>6500</v>
      </c>
      <c r="D78" s="18">
        <v>600</v>
      </c>
      <c r="E78" s="18">
        <v>4000</v>
      </c>
      <c r="F78" s="18">
        <v>625</v>
      </c>
      <c r="G78" s="18">
        <v>37500</v>
      </c>
      <c r="H78" s="81">
        <f t="shared" si="34"/>
        <v>49225</v>
      </c>
      <c r="I78" s="15">
        <f t="shared" si="35"/>
        <v>11725</v>
      </c>
      <c r="J78" s="15">
        <f t="shared" si="36"/>
        <v>11100</v>
      </c>
      <c r="K78" s="84">
        <v>0.21</v>
      </c>
      <c r="L78" s="5"/>
      <c r="M78" s="35">
        <f>H78/500000</f>
        <v>0.09845</v>
      </c>
      <c r="N78" s="33">
        <f>G78/500000</f>
        <v>0.075</v>
      </c>
      <c r="O78" s="33">
        <f>F78/500000</f>
        <v>0.00125</v>
      </c>
      <c r="P78" s="36">
        <f>J78/500000</f>
        <v>0.0222</v>
      </c>
      <c r="Q78" s="26">
        <f t="shared" si="33"/>
        <v>0.7618080243778568</v>
      </c>
      <c r="R78" s="27">
        <f t="shared" si="43"/>
        <v>0.012696800406297613</v>
      </c>
      <c r="S78" s="28">
        <f t="shared" si="44"/>
        <v>0.2254951752158456</v>
      </c>
      <c r="T78" s="26">
        <f t="shared" si="45"/>
        <v>0.5855855855855856</v>
      </c>
      <c r="U78" s="27">
        <f>D78/J78</f>
        <v>0.05405405405405406</v>
      </c>
      <c r="V78" s="28">
        <f t="shared" si="46"/>
        <v>0.36036036036036034</v>
      </c>
      <c r="W78" s="26">
        <f>C78/500000</f>
        <v>0.013</v>
      </c>
      <c r="X78" s="27">
        <f>D78/500000</f>
        <v>0.0012</v>
      </c>
      <c r="Y78" s="28">
        <f>E78/500000</f>
        <v>0.008</v>
      </c>
      <c r="Z78" s="27"/>
    </row>
    <row r="79" spans="2:26" ht="15.75">
      <c r="B79" s="12" t="s">
        <v>5</v>
      </c>
      <c r="C79" s="18">
        <f>0.06*D65</f>
        <v>30000</v>
      </c>
      <c r="D79" s="16" t="s">
        <v>43</v>
      </c>
      <c r="E79" s="18">
        <f>3100+2350</f>
        <v>5450</v>
      </c>
      <c r="F79" s="18">
        <f>90+35+24.71</f>
        <v>149.71</v>
      </c>
      <c r="G79" s="18">
        <f>(D65/2*0.03)+2*168+230</f>
        <v>8066</v>
      </c>
      <c r="H79" s="81">
        <f t="shared" si="34"/>
        <v>43665.71</v>
      </c>
      <c r="I79" s="15">
        <f t="shared" si="35"/>
        <v>35599.71</v>
      </c>
      <c r="J79" s="15">
        <f t="shared" si="36"/>
        <v>35450</v>
      </c>
      <c r="K79" s="84">
        <v>0.2</v>
      </c>
      <c r="L79" s="5"/>
      <c r="M79" s="35">
        <f t="shared" si="37"/>
        <v>0.08733141999999999</v>
      </c>
      <c r="N79" s="33">
        <f t="shared" si="38"/>
        <v>0.016132</v>
      </c>
      <c r="O79" s="33">
        <f t="shared" si="39"/>
        <v>0.00029942</v>
      </c>
      <c r="P79" s="36">
        <f t="shared" si="40"/>
        <v>0.0709</v>
      </c>
      <c r="Q79" s="26">
        <f t="shared" si="33"/>
        <v>0.18472160420613795</v>
      </c>
      <c r="R79" s="27">
        <f t="shared" si="43"/>
        <v>0.0034285483964419682</v>
      </c>
      <c r="S79" s="28">
        <f t="shared" si="44"/>
        <v>0.81184984739742</v>
      </c>
      <c r="T79" s="26">
        <f t="shared" si="45"/>
        <v>0.846262341325811</v>
      </c>
      <c r="U79" s="27"/>
      <c r="V79" s="28">
        <f t="shared" si="46"/>
        <v>0.153737658674189</v>
      </c>
      <c r="W79" s="26">
        <f t="shared" si="41"/>
        <v>0.06</v>
      </c>
      <c r="X79" s="27"/>
      <c r="Y79" s="28">
        <f t="shared" si="42"/>
        <v>0.0109</v>
      </c>
      <c r="Z79" s="27"/>
    </row>
    <row r="80" spans="2:26" ht="15.75">
      <c r="B80" s="12" t="s">
        <v>6</v>
      </c>
      <c r="C80" s="18">
        <v>9250</v>
      </c>
      <c r="D80" s="16" t="s">
        <v>43</v>
      </c>
      <c r="E80" s="18">
        <v>2090</v>
      </c>
      <c r="F80" s="18">
        <v>186</v>
      </c>
      <c r="G80" s="18">
        <v>30000</v>
      </c>
      <c r="H80" s="81">
        <f t="shared" si="34"/>
        <v>41526</v>
      </c>
      <c r="I80" s="15">
        <f t="shared" si="35"/>
        <v>11526</v>
      </c>
      <c r="J80" s="15">
        <f t="shared" si="36"/>
        <v>11340</v>
      </c>
      <c r="K80" s="84">
        <v>0.19</v>
      </c>
      <c r="L80" s="5"/>
      <c r="M80" s="35">
        <f>H80/500000</f>
        <v>0.083052</v>
      </c>
      <c r="N80" s="33">
        <f>G80/500000</f>
        <v>0.06</v>
      </c>
      <c r="O80" s="33">
        <f>F80/500000</f>
        <v>0.000372</v>
      </c>
      <c r="P80" s="36">
        <f>J80/500000</f>
        <v>0.02268</v>
      </c>
      <c r="Q80" s="26">
        <f t="shared" si="33"/>
        <v>0.7224389539083947</v>
      </c>
      <c r="R80" s="27">
        <f t="shared" si="43"/>
        <v>0.0044791215142320475</v>
      </c>
      <c r="S80" s="28">
        <f t="shared" si="44"/>
        <v>0.27308192457737324</v>
      </c>
      <c r="T80" s="26">
        <f t="shared" si="45"/>
        <v>0.8156966490299824</v>
      </c>
      <c r="U80" s="27"/>
      <c r="V80" s="28">
        <f t="shared" si="46"/>
        <v>0.18430335097001763</v>
      </c>
      <c r="W80" s="26">
        <f>C80/500000</f>
        <v>0.0185</v>
      </c>
      <c r="X80" s="27"/>
      <c r="Y80" s="28">
        <f>E80/500000</f>
        <v>0.00418</v>
      </c>
      <c r="Z80" s="27"/>
    </row>
    <row r="81" spans="2:26" ht="15.75">
      <c r="B81" s="12" t="s">
        <v>7</v>
      </c>
      <c r="C81" s="18">
        <v>6250</v>
      </c>
      <c r="D81" s="16">
        <v>250</v>
      </c>
      <c r="E81" s="18">
        <v>2050</v>
      </c>
      <c r="F81" s="18">
        <v>50</v>
      </c>
      <c r="G81" s="18">
        <f>50000+10000+125</f>
        <v>60125</v>
      </c>
      <c r="H81" s="81">
        <f t="shared" si="34"/>
        <v>68725</v>
      </c>
      <c r="I81" s="15">
        <f t="shared" si="35"/>
        <v>8600</v>
      </c>
      <c r="J81" s="15">
        <f t="shared" si="36"/>
        <v>8550</v>
      </c>
      <c r="K81" s="84">
        <v>0.22</v>
      </c>
      <c r="L81" s="5"/>
      <c r="M81" s="35">
        <f t="shared" si="37"/>
        <v>0.13745</v>
      </c>
      <c r="N81" s="33">
        <f t="shared" si="38"/>
        <v>0.12025</v>
      </c>
      <c r="O81" s="33">
        <f t="shared" si="39"/>
        <v>0.0001</v>
      </c>
      <c r="P81" s="36">
        <f t="shared" si="40"/>
        <v>0.0171</v>
      </c>
      <c r="Q81" s="26">
        <f t="shared" si="33"/>
        <v>0.8748635867588214</v>
      </c>
      <c r="R81" s="27">
        <f>F81/H81</f>
        <v>0.0007275372862859222</v>
      </c>
      <c r="S81" s="28">
        <f aca="true" t="shared" si="47" ref="S81:S87">J81/H81</f>
        <v>0.1244088759548927</v>
      </c>
      <c r="T81" s="26">
        <f aca="true" t="shared" si="48" ref="T81:T87">C81/J81</f>
        <v>0.7309941520467836</v>
      </c>
      <c r="U81" s="27">
        <f>D81/J81</f>
        <v>0.029239766081871343</v>
      </c>
      <c r="V81" s="28">
        <f aca="true" t="shared" si="49" ref="V81:V87">E81/J81</f>
        <v>0.23976608187134502</v>
      </c>
      <c r="W81" s="26">
        <f t="shared" si="41"/>
        <v>0.0125</v>
      </c>
      <c r="X81" s="27">
        <f>D81/500000</f>
        <v>0.0005</v>
      </c>
      <c r="Y81" s="28">
        <f t="shared" si="42"/>
        <v>0.0041</v>
      </c>
      <c r="Z81" s="27"/>
    </row>
    <row r="82" spans="2:26" ht="15.75">
      <c r="B82" s="12" t="s">
        <v>189</v>
      </c>
      <c r="C82" s="18">
        <f>37500/2</f>
        <v>18750</v>
      </c>
      <c r="D82" s="16">
        <v>275</v>
      </c>
      <c r="E82" s="18">
        <f>325+331.94</f>
        <v>656.94</v>
      </c>
      <c r="F82" s="18">
        <v>260</v>
      </c>
      <c r="G82" s="18">
        <v>7000</v>
      </c>
      <c r="H82" s="81">
        <f>SUM(C82:G82)</f>
        <v>26941.94</v>
      </c>
      <c r="I82" s="15">
        <f>SUM(C82:F82)</f>
        <v>19941.94</v>
      </c>
      <c r="J82" s="15">
        <f>SUM(C82:E82)</f>
        <v>19681.94</v>
      </c>
      <c r="K82" s="84">
        <v>0.21</v>
      </c>
      <c r="L82" s="5"/>
      <c r="M82" s="35">
        <f>H82/500000</f>
        <v>0.053883879999999995</v>
      </c>
      <c r="N82" s="33">
        <f>G82/500000</f>
        <v>0.014</v>
      </c>
      <c r="O82" s="33">
        <f>F82/500000</f>
        <v>0.00052</v>
      </c>
      <c r="P82" s="36">
        <f>J82/500000</f>
        <v>0.03936388</v>
      </c>
      <c r="Q82" s="26">
        <f>G82/H82</f>
        <v>0.25981796411097346</v>
      </c>
      <c r="R82" s="27">
        <f>F82/H82</f>
        <v>0.009650381524121872</v>
      </c>
      <c r="S82" s="28">
        <f t="shared" si="47"/>
        <v>0.7305316543649046</v>
      </c>
      <c r="T82" s="26">
        <f t="shared" si="48"/>
        <v>0.9526499928360721</v>
      </c>
      <c r="U82" s="27">
        <f>D82/J82</f>
        <v>0.013972199894929057</v>
      </c>
      <c r="V82" s="28">
        <f t="shared" si="49"/>
        <v>0.033377807268998895</v>
      </c>
      <c r="W82" s="26">
        <f>C82/500000</f>
        <v>0.0375</v>
      </c>
      <c r="X82" s="27">
        <f>D82/500000</f>
        <v>0.00055</v>
      </c>
      <c r="Y82" s="28">
        <f>E82/500000</f>
        <v>0.0013138800000000001</v>
      </c>
      <c r="Z82" s="27"/>
    </row>
    <row r="83" spans="2:26" ht="15.75">
      <c r="B83" s="19" t="s">
        <v>8</v>
      </c>
      <c r="C83" s="18">
        <v>5000</v>
      </c>
      <c r="D83" s="18">
        <v>741</v>
      </c>
      <c r="E83" s="18">
        <v>2372</v>
      </c>
      <c r="F83" s="18">
        <v>848</v>
      </c>
      <c r="G83" s="18">
        <v>15036</v>
      </c>
      <c r="H83" s="81">
        <f t="shared" si="34"/>
        <v>23997</v>
      </c>
      <c r="I83" s="15">
        <f t="shared" si="35"/>
        <v>8961</v>
      </c>
      <c r="J83" s="15">
        <f t="shared" si="36"/>
        <v>8113</v>
      </c>
      <c r="K83" s="84">
        <v>0.175</v>
      </c>
      <c r="L83" s="5"/>
      <c r="M83" s="35">
        <f t="shared" si="37"/>
        <v>0.047994</v>
      </c>
      <c r="N83" s="33">
        <f t="shared" si="38"/>
        <v>0.030072</v>
      </c>
      <c r="O83" s="33">
        <f t="shared" si="39"/>
        <v>0.001696</v>
      </c>
      <c r="P83" s="36">
        <f t="shared" si="40"/>
        <v>0.016226</v>
      </c>
      <c r="Q83" s="26">
        <f t="shared" si="33"/>
        <v>0.6265783222902863</v>
      </c>
      <c r="R83" s="27">
        <f>F83/H83</f>
        <v>0.03533775055215235</v>
      </c>
      <c r="S83" s="28">
        <f t="shared" si="47"/>
        <v>0.33808392715756136</v>
      </c>
      <c r="T83" s="26">
        <f t="shared" si="48"/>
        <v>0.616294835449279</v>
      </c>
      <c r="U83" s="27">
        <f>D83/J83</f>
        <v>0.09133489461358314</v>
      </c>
      <c r="V83" s="28">
        <f t="shared" si="49"/>
        <v>0.29237026993713794</v>
      </c>
      <c r="W83" s="26">
        <f t="shared" si="41"/>
        <v>0.01</v>
      </c>
      <c r="X83" s="27">
        <f>D83/500000</f>
        <v>0.001482</v>
      </c>
      <c r="Y83" s="28">
        <f t="shared" si="42"/>
        <v>0.004744</v>
      </c>
      <c r="Z83" s="27"/>
    </row>
    <row r="84" spans="2:26" ht="15.75">
      <c r="B84" s="19" t="s">
        <v>188</v>
      </c>
      <c r="C84" s="18">
        <v>2150</v>
      </c>
      <c r="D84" s="18">
        <v>300</v>
      </c>
      <c r="E84" s="18">
        <v>420</v>
      </c>
      <c r="F84" s="18">
        <v>60</v>
      </c>
      <c r="G84" s="18">
        <v>0</v>
      </c>
      <c r="H84" s="81">
        <f t="shared" si="34"/>
        <v>2930</v>
      </c>
      <c r="I84" s="15">
        <f t="shared" si="35"/>
        <v>2930</v>
      </c>
      <c r="J84" s="15">
        <f t="shared" si="36"/>
        <v>2870</v>
      </c>
      <c r="K84" s="84">
        <v>0.19</v>
      </c>
      <c r="L84" s="5"/>
      <c r="M84" s="35">
        <f>H84/500000</f>
        <v>0.00586</v>
      </c>
      <c r="N84" s="33">
        <f>G84/500000</f>
        <v>0</v>
      </c>
      <c r="O84" s="33">
        <f>F84/500000</f>
        <v>0.00012</v>
      </c>
      <c r="P84" s="36">
        <f>J84/500000</f>
        <v>0.00574</v>
      </c>
      <c r="Q84" s="26">
        <f>G84/H84</f>
        <v>0</v>
      </c>
      <c r="R84" s="27">
        <f>F84/H84</f>
        <v>0.020477815699658702</v>
      </c>
      <c r="S84" s="28">
        <f t="shared" si="47"/>
        <v>0.9795221843003413</v>
      </c>
      <c r="T84" s="26">
        <f t="shared" si="48"/>
        <v>0.7491289198606271</v>
      </c>
      <c r="U84" s="27">
        <f>D84/J84</f>
        <v>0.10452961672473868</v>
      </c>
      <c r="V84" s="28">
        <f t="shared" si="49"/>
        <v>0.14634146341463414</v>
      </c>
      <c r="W84" s="26">
        <f>C84/500000</f>
        <v>0.0043</v>
      </c>
      <c r="X84" s="27">
        <f>D84/500000</f>
        <v>0.0006</v>
      </c>
      <c r="Y84" s="28">
        <f>E84/500000</f>
        <v>0.00084</v>
      </c>
      <c r="Z84" s="27"/>
    </row>
    <row r="85" spans="2:26" ht="15.75">
      <c r="B85" s="12" t="s">
        <v>16</v>
      </c>
      <c r="C85" s="18">
        <f>0.04*D65</f>
        <v>20000</v>
      </c>
      <c r="D85" s="16" t="s">
        <v>43</v>
      </c>
      <c r="E85" s="18">
        <f>900+67.5+585</f>
        <v>1552.5</v>
      </c>
      <c r="F85" s="18">
        <v>138</v>
      </c>
      <c r="G85" s="18">
        <f>0.02*D65</f>
        <v>10000</v>
      </c>
      <c r="H85" s="81">
        <f t="shared" si="34"/>
        <v>31690.5</v>
      </c>
      <c r="I85" s="15">
        <f t="shared" si="35"/>
        <v>21690.5</v>
      </c>
      <c r="J85" s="15">
        <f t="shared" si="36"/>
        <v>21552.5</v>
      </c>
      <c r="K85" s="84">
        <v>0.19</v>
      </c>
      <c r="L85" s="5"/>
      <c r="M85" s="35">
        <f t="shared" si="37"/>
        <v>0.063381</v>
      </c>
      <c r="N85" s="33">
        <f t="shared" si="38"/>
        <v>0.02</v>
      </c>
      <c r="O85" s="33">
        <f t="shared" si="39"/>
        <v>0.000276</v>
      </c>
      <c r="P85" s="36">
        <f t="shared" si="40"/>
        <v>0.043105</v>
      </c>
      <c r="Q85" s="26">
        <f t="shared" si="33"/>
        <v>0.3155519792997902</v>
      </c>
      <c r="R85" s="27">
        <f>F85/H85</f>
        <v>0.004354617314337104</v>
      </c>
      <c r="S85" s="28">
        <f t="shared" si="47"/>
        <v>0.6800934033858728</v>
      </c>
      <c r="T85" s="26">
        <f t="shared" si="48"/>
        <v>0.9279665932026447</v>
      </c>
      <c r="U85" s="27"/>
      <c r="V85" s="28">
        <f t="shared" si="49"/>
        <v>0.0720334067973553</v>
      </c>
      <c r="W85" s="26">
        <f t="shared" si="41"/>
        <v>0.04</v>
      </c>
      <c r="X85" s="27"/>
      <c r="Y85" s="28">
        <f t="shared" si="42"/>
        <v>0.003105</v>
      </c>
      <c r="Z85" s="27"/>
    </row>
    <row r="86" spans="2:26" ht="15.75">
      <c r="B86" s="12" t="s">
        <v>9</v>
      </c>
      <c r="C86" s="18">
        <f>D65*0.06</f>
        <v>30000</v>
      </c>
      <c r="D86" s="16">
        <v>313</v>
      </c>
      <c r="E86" s="18">
        <f>433+529+2*330</f>
        <v>1622</v>
      </c>
      <c r="F86" s="18">
        <f>233+216</f>
        <v>449</v>
      </c>
      <c r="G86" s="18">
        <f>D65*(0.07+0.017)</f>
        <v>43500.00000000001</v>
      </c>
      <c r="H86" s="81">
        <f t="shared" si="34"/>
        <v>75884</v>
      </c>
      <c r="I86" s="15">
        <f t="shared" si="35"/>
        <v>32384</v>
      </c>
      <c r="J86" s="15">
        <f t="shared" si="36"/>
        <v>31935</v>
      </c>
      <c r="K86" s="84">
        <v>0.16</v>
      </c>
      <c r="L86" s="5"/>
      <c r="M86" s="35">
        <f t="shared" si="37"/>
        <v>0.151768</v>
      </c>
      <c r="N86" s="33">
        <f t="shared" si="38"/>
        <v>0.08700000000000001</v>
      </c>
      <c r="O86" s="33"/>
      <c r="P86" s="36">
        <f t="shared" si="40"/>
        <v>0.06387</v>
      </c>
      <c r="Q86" s="26">
        <f t="shared" si="33"/>
        <v>0.5732433714617048</v>
      </c>
      <c r="R86" s="27"/>
      <c r="S86" s="28">
        <f t="shared" si="47"/>
        <v>0.42083970270412735</v>
      </c>
      <c r="T86" s="26">
        <f t="shared" si="48"/>
        <v>0.9394081728511038</v>
      </c>
      <c r="U86" s="27">
        <f>D86/J86</f>
        <v>0.009801158603413183</v>
      </c>
      <c r="V86" s="28">
        <f t="shared" si="49"/>
        <v>0.05079066854548301</v>
      </c>
      <c r="W86" s="26">
        <f t="shared" si="41"/>
        <v>0.06</v>
      </c>
      <c r="X86" s="27">
        <f>D86/500000</f>
        <v>0.000626</v>
      </c>
      <c r="Y86" s="28">
        <f t="shared" si="42"/>
        <v>0.003244</v>
      </c>
      <c r="Z86" s="27"/>
    </row>
    <row r="87" spans="2:26" ht="15.75">
      <c r="B87" s="20" t="s">
        <v>10</v>
      </c>
      <c r="C87" s="21">
        <v>12800</v>
      </c>
      <c r="D87" s="21">
        <v>400</v>
      </c>
      <c r="E87" s="21">
        <v>0</v>
      </c>
      <c r="F87" s="21">
        <v>130</v>
      </c>
      <c r="G87" s="21">
        <v>17500</v>
      </c>
      <c r="H87" s="82">
        <f t="shared" si="34"/>
        <v>30830</v>
      </c>
      <c r="I87" s="22">
        <f t="shared" si="35"/>
        <v>13330</v>
      </c>
      <c r="J87" s="22">
        <f t="shared" si="36"/>
        <v>13200</v>
      </c>
      <c r="K87" s="85">
        <v>0.25</v>
      </c>
      <c r="L87" s="5"/>
      <c r="M87" s="35">
        <f t="shared" si="37"/>
        <v>0.06166</v>
      </c>
      <c r="N87" s="33">
        <f t="shared" si="38"/>
        <v>0.035</v>
      </c>
      <c r="O87" s="33">
        <f t="shared" si="39"/>
        <v>0.00026</v>
      </c>
      <c r="P87" s="36">
        <f t="shared" si="40"/>
        <v>0.0264</v>
      </c>
      <c r="Q87" s="26">
        <f t="shared" si="33"/>
        <v>0.5676289328576062</v>
      </c>
      <c r="R87" s="27">
        <f>F87/H87</f>
        <v>0.0042166720726565035</v>
      </c>
      <c r="S87" s="28">
        <f t="shared" si="47"/>
        <v>0.4281543950697373</v>
      </c>
      <c r="T87" s="44">
        <f t="shared" si="48"/>
        <v>0.9696969696969697</v>
      </c>
      <c r="U87" s="27">
        <f>D87/J87</f>
        <v>0.030303030303030304</v>
      </c>
      <c r="V87" s="45">
        <f t="shared" si="49"/>
        <v>0</v>
      </c>
      <c r="W87" s="44">
        <f t="shared" si="41"/>
        <v>0.0256</v>
      </c>
      <c r="X87" s="27">
        <f>D87/500000</f>
        <v>0.0008</v>
      </c>
      <c r="Y87" s="45">
        <f t="shared" si="42"/>
        <v>0</v>
      </c>
      <c r="Z87" s="55"/>
    </row>
    <row r="88" spans="2:26" ht="15.75">
      <c r="B88" s="42" t="s">
        <v>27</v>
      </c>
      <c r="C88" s="70">
        <f>(SUM(C68:C87))/D89</f>
        <v>16103.65</v>
      </c>
      <c r="D88" s="70">
        <f>(SUM(D68:D87))/D89</f>
        <v>344.95</v>
      </c>
      <c r="E88" s="70">
        <f>(SUM(E68:E87))/D89</f>
        <v>2865.942</v>
      </c>
      <c r="F88" s="70">
        <f>(SUM(F68:F87))/D89</f>
        <v>1824.2855</v>
      </c>
      <c r="G88" s="70">
        <f>(SUM(G68:G87))/D89</f>
        <v>23641.1</v>
      </c>
      <c r="H88" s="82">
        <f>(SUM(H68:H87))/D89</f>
        <v>44779.9275</v>
      </c>
      <c r="I88" s="70">
        <f>(SUM(I68:I87))/D89</f>
        <v>21138.827500000003</v>
      </c>
      <c r="J88" s="70">
        <f>(SUM(J68:J87))/D89</f>
        <v>19314.542</v>
      </c>
      <c r="K88" s="41"/>
      <c r="L88" s="29" t="s">
        <v>27</v>
      </c>
      <c r="M88" s="52">
        <f>(SUM(M68:M87))/D89</f>
        <v>0.089559855</v>
      </c>
      <c r="N88" s="53">
        <f>(SUM(N68:N87))/D89</f>
        <v>0.047282199999999996</v>
      </c>
      <c r="O88" s="53">
        <f>(SUM(O68:O87))/D89</f>
        <v>0.003603671</v>
      </c>
      <c r="P88" s="53">
        <f>(SUM(P68:P87))/D89</f>
        <v>0.038629083999999994</v>
      </c>
      <c r="Q88" s="52">
        <f>(SUM(Q68:Q87))/D89</f>
        <v>0.45332105362540576</v>
      </c>
      <c r="R88" s="53">
        <f>(SUM(R68:R87))/D89</f>
        <v>0.042603669349150594</v>
      </c>
      <c r="S88" s="53">
        <f>(SUM(S68:S87))/D89</f>
        <v>0.5037794307337352</v>
      </c>
      <c r="T88" s="52">
        <f>(SUM(T68:T87))/D89</f>
        <v>0.8167725178938813</v>
      </c>
      <c r="U88" s="53">
        <f>(SUM(U68:U87))/D89</f>
        <v>0.029277005540509556</v>
      </c>
      <c r="V88" s="53">
        <f>(SUM(V68:V87))/D89</f>
        <v>0.1539504765656093</v>
      </c>
      <c r="W88" s="52">
        <f>(SUM(W68:W87))/D89</f>
        <v>0.0322073</v>
      </c>
      <c r="X88" s="53">
        <f>(SUM(X68:X87))/I89</f>
        <v>0.0010613846153846155</v>
      </c>
      <c r="Y88" s="54">
        <f>(SUM(Y68:Y87))/D89</f>
        <v>0.005731884</v>
      </c>
      <c r="Z88" s="32"/>
    </row>
    <row r="89" spans="2:26" ht="15.75">
      <c r="B89" s="64"/>
      <c r="C89" s="65" t="s">
        <v>44</v>
      </c>
      <c r="D89" s="66">
        <v>20</v>
      </c>
      <c r="E89" s="67"/>
      <c r="F89" s="65"/>
      <c r="G89" s="65"/>
      <c r="H89" s="65" t="s">
        <v>52</v>
      </c>
      <c r="I89" s="66">
        <v>13</v>
      </c>
      <c r="J89" s="68"/>
      <c r="K89" s="41"/>
      <c r="L89" s="3"/>
      <c r="M89" s="3"/>
      <c r="N89" s="3"/>
      <c r="O89" s="3"/>
      <c r="P89" s="3"/>
      <c r="T89" s="50" t="s">
        <v>51</v>
      </c>
      <c r="U89" s="31">
        <f>(SUM(U68:U87))/I89</f>
        <v>0.04504154698539931</v>
      </c>
      <c r="W89" s="47"/>
      <c r="X89" s="46"/>
      <c r="Y89" s="47"/>
      <c r="Z89" s="49"/>
    </row>
    <row r="90" spans="21:26" ht="12.75">
      <c r="U90" s="25"/>
      <c r="V90" s="51"/>
      <c r="W90" s="48"/>
      <c r="Y90" s="48"/>
      <c r="Z90" s="48"/>
    </row>
    <row r="91" spans="21:26" ht="12.75">
      <c r="U91" s="25"/>
      <c r="W91" s="49"/>
      <c r="X91" s="32"/>
      <c r="Y91" s="49"/>
      <c r="Z91" s="49"/>
    </row>
    <row r="93" ht="12.75">
      <c r="D93" s="1"/>
    </row>
    <row r="94" spans="1:26" ht="12.75">
      <c r="A94" s="7"/>
      <c r="B94" s="8"/>
      <c r="C94" s="8"/>
      <c r="D94" s="86" t="s">
        <v>56</v>
      </c>
      <c r="E94" s="10" t="s">
        <v>57</v>
      </c>
      <c r="F94" s="8"/>
      <c r="G94" s="8"/>
      <c r="H94" s="8"/>
      <c r="I94" s="8"/>
      <c r="J94" s="8"/>
      <c r="K94" s="11"/>
      <c r="M94" s="34"/>
      <c r="N94" s="40" t="s">
        <v>28</v>
      </c>
      <c r="O94" s="30"/>
      <c r="P94" s="11"/>
      <c r="Q94" s="7"/>
      <c r="R94" s="30" t="s">
        <v>21</v>
      </c>
      <c r="S94" s="11"/>
      <c r="T94" s="7"/>
      <c r="U94" s="30" t="s">
        <v>24</v>
      </c>
      <c r="V94" s="11"/>
      <c r="W94" s="7"/>
      <c r="X94" s="30" t="s">
        <v>39</v>
      </c>
      <c r="Y94" s="11"/>
      <c r="Z94" s="2"/>
    </row>
    <row r="95" spans="1:26" ht="12.75">
      <c r="A95" s="12"/>
      <c r="C95" s="2"/>
      <c r="D95" s="2"/>
      <c r="E95" s="2"/>
      <c r="F95" s="2"/>
      <c r="G95" s="2"/>
      <c r="H95" s="2"/>
      <c r="I95" s="2"/>
      <c r="J95" s="2"/>
      <c r="K95" s="13"/>
      <c r="M95" s="37"/>
      <c r="N95" s="38" t="s">
        <v>56</v>
      </c>
      <c r="O95" s="38"/>
      <c r="P95" s="39"/>
      <c r="Q95" s="12"/>
      <c r="R95" s="38" t="s">
        <v>56</v>
      </c>
      <c r="S95" s="13"/>
      <c r="T95" s="12"/>
      <c r="U95" s="38" t="s">
        <v>56</v>
      </c>
      <c r="V95" s="13"/>
      <c r="W95" s="12"/>
      <c r="X95" s="38" t="s">
        <v>56</v>
      </c>
      <c r="Y95" s="13"/>
      <c r="Z95" s="2"/>
    </row>
    <row r="96" spans="1:26" ht="12.75">
      <c r="A96" s="56" t="s">
        <v>11</v>
      </c>
      <c r="B96" s="56" t="s">
        <v>58</v>
      </c>
      <c r="C96" s="58" t="s">
        <v>40</v>
      </c>
      <c r="D96" s="58" t="s">
        <v>32</v>
      </c>
      <c r="E96" s="58" t="s">
        <v>46</v>
      </c>
      <c r="F96" s="58" t="s">
        <v>33</v>
      </c>
      <c r="G96" s="58" t="s">
        <v>17</v>
      </c>
      <c r="H96" s="58" t="s">
        <v>34</v>
      </c>
      <c r="I96" s="58" t="s">
        <v>36</v>
      </c>
      <c r="J96" s="58" t="s">
        <v>42</v>
      </c>
      <c r="K96" s="59" t="s">
        <v>18</v>
      </c>
      <c r="L96" s="23"/>
      <c r="M96" s="57" t="s">
        <v>37</v>
      </c>
      <c r="N96" s="58" t="s">
        <v>22</v>
      </c>
      <c r="O96" s="58" t="s">
        <v>23</v>
      </c>
      <c r="P96" s="60" t="s">
        <v>38</v>
      </c>
      <c r="Q96" s="61" t="s">
        <v>22</v>
      </c>
      <c r="R96" s="62" t="s">
        <v>23</v>
      </c>
      <c r="S96" s="60" t="s">
        <v>38</v>
      </c>
      <c r="T96" s="61" t="s">
        <v>25</v>
      </c>
      <c r="U96" s="62" t="s">
        <v>26</v>
      </c>
      <c r="V96" s="60" t="s">
        <v>47</v>
      </c>
      <c r="W96" s="61" t="s">
        <v>25</v>
      </c>
      <c r="X96" s="62" t="s">
        <v>26</v>
      </c>
      <c r="Y96" s="60" t="s">
        <v>47</v>
      </c>
      <c r="Z96" s="24"/>
    </row>
    <row r="97" spans="1:26" ht="12.75">
      <c r="A97" s="14" t="s">
        <v>12</v>
      </c>
      <c r="B97" s="90">
        <v>150000</v>
      </c>
      <c r="C97" s="15">
        <f>B97*0.06</f>
        <v>9000</v>
      </c>
      <c r="D97" s="16" t="s">
        <v>43</v>
      </c>
      <c r="E97" s="15">
        <f>((E34-E7)*(B97-100000)/150000)+E7</f>
        <v>1566.6666666666667</v>
      </c>
      <c r="F97" s="15">
        <f>B97*0.022</f>
        <v>3300</v>
      </c>
      <c r="G97" s="15">
        <f>B97*0.035</f>
        <v>5250.000000000001</v>
      </c>
      <c r="H97" s="80">
        <f aca="true" t="shared" si="50" ref="H97:H106">SUM(C97:G97)</f>
        <v>19116.666666666668</v>
      </c>
      <c r="I97" s="15">
        <f>SUM(C97:F97)</f>
        <v>13866.666666666666</v>
      </c>
      <c r="J97" s="15">
        <f>SUM(C97:E97)</f>
        <v>10566.666666666666</v>
      </c>
      <c r="K97" s="83">
        <v>0.2</v>
      </c>
      <c r="L97" s="4"/>
      <c r="M97" s="35">
        <f aca="true" t="shared" si="51" ref="M97:M116">H97/B97</f>
        <v>0.12744444444444444</v>
      </c>
      <c r="N97" s="33">
        <f aca="true" t="shared" si="52" ref="N97:N116">G97/B97</f>
        <v>0.035</v>
      </c>
      <c r="O97" s="33">
        <f aca="true" t="shared" si="53" ref="O97:O116">F97/B97</f>
        <v>0.022</v>
      </c>
      <c r="P97" s="36">
        <f aca="true" t="shared" si="54" ref="P97:P116">J97/B97</f>
        <v>0.07044444444444443</v>
      </c>
      <c r="Q97" s="26">
        <f aca="true" t="shared" si="55" ref="Q97:Q109">G97/H97</f>
        <v>0.27462946817785533</v>
      </c>
      <c r="R97" s="27">
        <f aca="true" t="shared" si="56" ref="R97:R109">F97/H97</f>
        <v>0.17262423714036615</v>
      </c>
      <c r="S97" s="28">
        <f aca="true" t="shared" si="57" ref="S97:S109">J97/H97</f>
        <v>0.5527462946817785</v>
      </c>
      <c r="T97" s="26">
        <f aca="true" t="shared" si="58" ref="T97:T109">C97/J97</f>
        <v>0.8517350157728707</v>
      </c>
      <c r="U97" s="27"/>
      <c r="V97" s="28">
        <f aca="true" t="shared" si="59" ref="V97:V109">E97/J97</f>
        <v>0.14826498422712936</v>
      </c>
      <c r="W97" s="26">
        <f aca="true" t="shared" si="60" ref="W97:W116">C97/B97</f>
        <v>0.06</v>
      </c>
      <c r="X97" s="27"/>
      <c r="Y97" s="28">
        <f aca="true" t="shared" si="61" ref="Y97:Y116">E97/B97</f>
        <v>0.010444444444444445</v>
      </c>
      <c r="Z97" s="27"/>
    </row>
    <row r="98" spans="1:26" ht="15.75">
      <c r="A98" s="14" t="s">
        <v>13</v>
      </c>
      <c r="B98" s="133">
        <v>167000</v>
      </c>
      <c r="C98" s="15">
        <f>B98*0.03</f>
        <v>5010</v>
      </c>
      <c r="D98" s="16" t="s">
        <v>43</v>
      </c>
      <c r="E98" s="15">
        <f>((E35-E8)*(B98-100000)/150000)+E8</f>
        <v>2689.7</v>
      </c>
      <c r="F98" s="15">
        <f>((F35-F8)*(B98-100000)/150000)+F8</f>
        <v>890.4333333333334</v>
      </c>
      <c r="G98" s="15">
        <f>B98*(0.115+0.011)</f>
        <v>21042</v>
      </c>
      <c r="H98" s="81">
        <f t="shared" si="50"/>
        <v>29632.13333333333</v>
      </c>
      <c r="I98" s="15">
        <f aca="true" t="shared" si="62" ref="I98:I105">SUM(C98:F98)</f>
        <v>8590.133333333333</v>
      </c>
      <c r="J98" s="15">
        <f aca="true" t="shared" si="63" ref="J98:J105">SUM(C98:E98)</f>
        <v>7699.7</v>
      </c>
      <c r="K98" s="84">
        <v>0.21</v>
      </c>
      <c r="L98" s="5"/>
      <c r="M98" s="35">
        <f t="shared" si="51"/>
        <v>0.1774379241516966</v>
      </c>
      <c r="N98" s="33">
        <f t="shared" si="52"/>
        <v>0.126</v>
      </c>
      <c r="O98" s="33">
        <f t="shared" si="53"/>
        <v>0.005331936127744511</v>
      </c>
      <c r="P98" s="36">
        <f t="shared" si="54"/>
        <v>0.0461059880239521</v>
      </c>
      <c r="Q98" s="26">
        <f t="shared" si="55"/>
        <v>0.710107495916595</v>
      </c>
      <c r="R98" s="27">
        <f t="shared" si="56"/>
        <v>0.030049585809999058</v>
      </c>
      <c r="S98" s="28">
        <f t="shared" si="57"/>
        <v>0.2598429182734059</v>
      </c>
      <c r="T98" s="26">
        <f t="shared" si="58"/>
        <v>0.6506747016117511</v>
      </c>
      <c r="U98" s="27"/>
      <c r="V98" s="28">
        <f t="shared" si="59"/>
        <v>0.3493252983882489</v>
      </c>
      <c r="W98" s="26">
        <f t="shared" si="60"/>
        <v>0.03</v>
      </c>
      <c r="X98" s="27"/>
      <c r="Y98" s="28">
        <f t="shared" si="61"/>
        <v>0.016105988023952095</v>
      </c>
      <c r="Z98" s="27"/>
    </row>
    <row r="99" spans="1:26" ht="15.75">
      <c r="A99" s="14" t="s">
        <v>154</v>
      </c>
      <c r="B99" s="90">
        <v>100000</v>
      </c>
      <c r="C99" s="15">
        <f>B99*0.05</f>
        <v>5000</v>
      </c>
      <c r="D99" s="15">
        <f>((D36-D9)*(B99-100000)/150000)+D9</f>
        <v>350</v>
      </c>
      <c r="E99" s="15">
        <f>((E36-E9)*(B99-100000)/150000)+E9</f>
        <v>1000</v>
      </c>
      <c r="F99" s="15">
        <v>17</v>
      </c>
      <c r="G99" s="15">
        <f>((G36-G9)*(B99-100000)/150000)+G9</f>
        <v>0</v>
      </c>
      <c r="H99" s="81">
        <f t="shared" si="50"/>
        <v>6367</v>
      </c>
      <c r="I99" s="15">
        <f t="shared" si="62"/>
        <v>6367</v>
      </c>
      <c r="J99" s="15">
        <f t="shared" si="63"/>
        <v>6350</v>
      </c>
      <c r="K99" s="84">
        <v>0.19</v>
      </c>
      <c r="L99" s="5"/>
      <c r="M99" s="35">
        <f t="shared" si="51"/>
        <v>0.06367</v>
      </c>
      <c r="N99" s="33">
        <f t="shared" si="52"/>
        <v>0</v>
      </c>
      <c r="O99" s="33">
        <f t="shared" si="53"/>
        <v>0.00017</v>
      </c>
      <c r="P99" s="36">
        <f t="shared" si="54"/>
        <v>0.0635</v>
      </c>
      <c r="Q99" s="26">
        <f t="shared" si="55"/>
        <v>0</v>
      </c>
      <c r="R99" s="27">
        <f t="shared" si="56"/>
        <v>0.002670017276582378</v>
      </c>
      <c r="S99" s="28">
        <f t="shared" si="57"/>
        <v>0.9973299827234177</v>
      </c>
      <c r="T99" s="26">
        <f t="shared" si="58"/>
        <v>0.7874015748031497</v>
      </c>
      <c r="U99" s="27">
        <f>D99/J99</f>
        <v>0.05511811023622047</v>
      </c>
      <c r="V99" s="28">
        <f t="shared" si="59"/>
        <v>0.15748031496062992</v>
      </c>
      <c r="W99" s="26">
        <f t="shared" si="60"/>
        <v>0.05</v>
      </c>
      <c r="X99" s="27">
        <f>D99/B99</f>
        <v>0.0035</v>
      </c>
      <c r="Y99" s="28">
        <f t="shared" si="61"/>
        <v>0.01</v>
      </c>
      <c r="Z99" s="27"/>
    </row>
    <row r="100" spans="1:26" ht="15.75">
      <c r="A100" s="12" t="s">
        <v>14</v>
      </c>
      <c r="B100" s="89">
        <f>(219260+224225)/2</f>
        <v>221742.5</v>
      </c>
      <c r="C100" s="15">
        <f>((C37-C10)*(B100-100000)/150000)+C10</f>
        <v>7068.82</v>
      </c>
      <c r="D100" s="15">
        <f>((D37-D10)*(B100-100000)/150000)+D10</f>
        <v>1020</v>
      </c>
      <c r="E100" s="18">
        <v>1013</v>
      </c>
      <c r="F100" s="15">
        <f>((F37-F10)*(B100-100000)/150000)+F10</f>
        <v>5030.592500000001</v>
      </c>
      <c r="G100" s="15">
        <f>((G37-G10)*(B100-100000)/150000)+G10</f>
        <v>0</v>
      </c>
      <c r="H100" s="81">
        <f t="shared" si="50"/>
        <v>14132.4125</v>
      </c>
      <c r="I100" s="15">
        <f t="shared" si="62"/>
        <v>14132.4125</v>
      </c>
      <c r="J100" s="15">
        <f t="shared" si="63"/>
        <v>9101.82</v>
      </c>
      <c r="K100" s="84">
        <v>0.25</v>
      </c>
      <c r="L100" s="5"/>
      <c r="M100" s="35">
        <f t="shared" si="51"/>
        <v>0.06373344081536016</v>
      </c>
      <c r="N100" s="33">
        <f t="shared" si="52"/>
        <v>0</v>
      </c>
      <c r="O100" s="33">
        <f t="shared" si="53"/>
        <v>0.022686641036337198</v>
      </c>
      <c r="P100" s="36">
        <f t="shared" si="54"/>
        <v>0.041046799779022966</v>
      </c>
      <c r="Q100" s="26">
        <f t="shared" si="55"/>
        <v>0</v>
      </c>
      <c r="R100" s="27">
        <f t="shared" si="56"/>
        <v>0.35596134064159257</v>
      </c>
      <c r="S100" s="28">
        <f t="shared" si="57"/>
        <v>0.6440386593584074</v>
      </c>
      <c r="T100" s="44">
        <f t="shared" si="58"/>
        <v>0.7766380789776111</v>
      </c>
      <c r="U100" s="27">
        <f>D100/J100</f>
        <v>0.11206549898811446</v>
      </c>
      <c r="V100" s="45">
        <f t="shared" si="59"/>
        <v>0.11129642203427446</v>
      </c>
      <c r="W100" s="44">
        <f t="shared" si="60"/>
        <v>0.031878507728559026</v>
      </c>
      <c r="X100" s="27">
        <f>D100/B100</f>
        <v>0.004599930099101435</v>
      </c>
      <c r="Y100" s="45">
        <f t="shared" si="61"/>
        <v>0.0045683619513625035</v>
      </c>
      <c r="Z100" s="55"/>
    </row>
    <row r="101" spans="1:26" ht="15.75">
      <c r="A101" s="12" t="s">
        <v>0</v>
      </c>
      <c r="B101" s="89">
        <v>297750</v>
      </c>
      <c r="C101" s="15">
        <f>((C72-C38)*(B101-250000)/250000)+C38</f>
        <v>4232.602</v>
      </c>
      <c r="D101" s="15">
        <f>((D72-D38)*(B101-250000)/250000)+D38</f>
        <v>778.65</v>
      </c>
      <c r="E101" s="15">
        <f>((E72-E38)*(B101-250000)/250000)+E38</f>
        <v>1502.13</v>
      </c>
      <c r="F101" s="15">
        <f>((F72-F38)*(B101-250000)/250000)+F38</f>
        <v>245.055</v>
      </c>
      <c r="G101" s="15">
        <f>((G72-G38)*(B101-250000)/250000)+G38</f>
        <v>4918.005</v>
      </c>
      <c r="H101" s="81">
        <f t="shared" si="50"/>
        <v>11676.442</v>
      </c>
      <c r="I101" s="15">
        <f t="shared" si="62"/>
        <v>6758.437</v>
      </c>
      <c r="J101" s="15">
        <f t="shared" si="63"/>
        <v>6513.382</v>
      </c>
      <c r="K101" s="84">
        <v>0.175</v>
      </c>
      <c r="L101" s="5"/>
      <c r="M101" s="35">
        <f t="shared" si="51"/>
        <v>0.03921559026028547</v>
      </c>
      <c r="N101" s="33">
        <f t="shared" si="52"/>
        <v>0.016517229219143576</v>
      </c>
      <c r="O101" s="33">
        <f t="shared" si="53"/>
        <v>0.0008230226700251889</v>
      </c>
      <c r="P101" s="36">
        <f t="shared" si="54"/>
        <v>0.021875338371116708</v>
      </c>
      <c r="Q101" s="26">
        <f t="shared" si="55"/>
        <v>0.4211903763149768</v>
      </c>
      <c r="R101" s="27">
        <f t="shared" si="56"/>
        <v>0.02098712946974772</v>
      </c>
      <c r="S101" s="28">
        <f t="shared" si="57"/>
        <v>0.5578224942152755</v>
      </c>
      <c r="T101" s="26">
        <f t="shared" si="58"/>
        <v>0.6498316849833159</v>
      </c>
      <c r="U101" s="27">
        <f>D101/J101</f>
        <v>0.11954618967534839</v>
      </c>
      <c r="V101" s="28">
        <f t="shared" si="59"/>
        <v>0.23062212534133575</v>
      </c>
      <c r="W101" s="26">
        <f t="shared" si="60"/>
        <v>0.014215287993282954</v>
      </c>
      <c r="X101" s="27">
        <f>D101/B101</f>
        <v>0.0026151133501259444</v>
      </c>
      <c r="Y101" s="28">
        <f t="shared" si="61"/>
        <v>0.005044937027707809</v>
      </c>
      <c r="Z101" s="27"/>
    </row>
    <row r="102" spans="1:26" ht="15.75">
      <c r="A102" s="12" t="s">
        <v>1</v>
      </c>
      <c r="B102" s="89">
        <f>(149452+98060)/2</f>
        <v>123756</v>
      </c>
      <c r="C102" s="18">
        <f>B102*0.03125</f>
        <v>3867.375</v>
      </c>
      <c r="D102" s="15">
        <f>((D39-D12)*(B102-100000)/150000)+D12</f>
        <v>600</v>
      </c>
      <c r="E102" s="15">
        <f>((E39-E12)*(B102-100000)/150000)+E12</f>
        <v>430.2</v>
      </c>
      <c r="F102" s="18">
        <f>65+44</f>
        <v>109</v>
      </c>
      <c r="G102" s="18">
        <f>B102*0.04</f>
        <v>4950.24</v>
      </c>
      <c r="H102" s="81">
        <f t="shared" si="50"/>
        <v>9956.814999999999</v>
      </c>
      <c r="I102" s="15">
        <f t="shared" si="62"/>
        <v>5006.575</v>
      </c>
      <c r="J102" s="15">
        <f t="shared" si="63"/>
        <v>4897.575</v>
      </c>
      <c r="K102" s="84">
        <v>0.28</v>
      </c>
      <c r="L102" s="5"/>
      <c r="M102" s="35">
        <f t="shared" si="51"/>
        <v>0.0804552102524322</v>
      </c>
      <c r="N102" s="33">
        <f t="shared" si="52"/>
        <v>0.04</v>
      </c>
      <c r="O102" s="33">
        <f t="shared" si="53"/>
        <v>0.0008807653770322247</v>
      </c>
      <c r="P102" s="36">
        <f t="shared" si="54"/>
        <v>0.03957444487539998</v>
      </c>
      <c r="Q102" s="26">
        <f t="shared" si="55"/>
        <v>0.4971710331064703</v>
      </c>
      <c r="R102" s="27">
        <f t="shared" si="56"/>
        <v>0.010947275810588027</v>
      </c>
      <c r="S102" s="28">
        <f t="shared" si="57"/>
        <v>0.4918816910829417</v>
      </c>
      <c r="T102" s="44">
        <f t="shared" si="58"/>
        <v>0.7896510007503714</v>
      </c>
      <c r="U102" s="27">
        <f>D102/J102</f>
        <v>0.1225096093474832</v>
      </c>
      <c r="V102" s="45">
        <f t="shared" si="59"/>
        <v>0.08783938990214545</v>
      </c>
      <c r="W102" s="44">
        <f t="shared" si="60"/>
        <v>0.03125</v>
      </c>
      <c r="X102" s="27">
        <f>D102/B102</f>
        <v>0.0048482497818287595</v>
      </c>
      <c r="Y102" s="45">
        <f t="shared" si="61"/>
        <v>0.0034761950935712207</v>
      </c>
      <c r="Z102" s="55"/>
    </row>
    <row r="103" spans="1:26" ht="15.75">
      <c r="A103" s="12" t="s">
        <v>2</v>
      </c>
      <c r="B103" s="95">
        <f>(137830+154800)/2*(209.3/129+176.6/119.7)/2</f>
        <v>226629.91335412173</v>
      </c>
      <c r="C103" s="15">
        <f>((C40-C13)*(B103-100000)/150000)+C13</f>
        <v>16019.894512427709</v>
      </c>
      <c r="D103" s="15">
        <f>((D40-D13)*(B103-100000)/150000)+D13</f>
        <v>500</v>
      </c>
      <c r="E103" s="15">
        <f>((E40-E13)*(B103-100000)/150000)+E13</f>
        <v>2930.98046108596</v>
      </c>
      <c r="F103" s="18">
        <f>B103*0.0015</f>
        <v>339.94487003118263</v>
      </c>
      <c r="G103" s="18">
        <f>B103*0.0506</f>
        <v>11467.47361571856</v>
      </c>
      <c r="H103" s="81">
        <f t="shared" si="50"/>
        <v>31258.293459263412</v>
      </c>
      <c r="I103" s="15">
        <f t="shared" si="62"/>
        <v>19790.819843544854</v>
      </c>
      <c r="J103" s="15">
        <f t="shared" si="63"/>
        <v>19450.87497351367</v>
      </c>
      <c r="K103" s="84">
        <v>0.196</v>
      </c>
      <c r="L103" s="5"/>
      <c r="M103" s="35">
        <f t="shared" si="51"/>
        <v>0.13792660022960254</v>
      </c>
      <c r="N103" s="33">
        <f t="shared" si="52"/>
        <v>0.0506</v>
      </c>
      <c r="O103" s="33">
        <f t="shared" si="53"/>
        <v>0.0015000000000000002</v>
      </c>
      <c r="P103" s="36">
        <f t="shared" si="54"/>
        <v>0.08582660022960255</v>
      </c>
      <c r="Q103" s="26">
        <f t="shared" si="55"/>
        <v>0.36686179399599206</v>
      </c>
      <c r="R103" s="27">
        <f t="shared" si="56"/>
        <v>0.010875349624387118</v>
      </c>
      <c r="S103" s="28">
        <f t="shared" si="57"/>
        <v>0.6222628563796209</v>
      </c>
      <c r="T103" s="26">
        <f t="shared" si="58"/>
        <v>0.8236079114303115</v>
      </c>
      <c r="U103" s="27">
        <f>D103/J103</f>
        <v>0.025705784479148206</v>
      </c>
      <c r="V103" s="28">
        <f t="shared" si="59"/>
        <v>0.15068630409054026</v>
      </c>
      <c r="W103" s="26">
        <f t="shared" si="60"/>
        <v>0.07068746696026725</v>
      </c>
      <c r="X103" s="27">
        <f>D103/B103</f>
        <v>0.002206240088080175</v>
      </c>
      <c r="Y103" s="28">
        <f t="shared" si="61"/>
        <v>0.012932893181255123</v>
      </c>
      <c r="Z103" s="27"/>
    </row>
    <row r="104" spans="1:26" ht="15.75">
      <c r="A104" s="12" t="s">
        <v>3</v>
      </c>
      <c r="B104" s="89">
        <f>((173700+99400)*0.75/2)+((124200+103400)*0.25/2)</f>
        <v>130862.5</v>
      </c>
      <c r="C104" s="18">
        <f>B104*0.04</f>
        <v>5234.5</v>
      </c>
      <c r="D104" s="16" t="s">
        <v>43</v>
      </c>
      <c r="E104" s="15">
        <f>((E41-E14)*(B104-100000)/150000)+E14</f>
        <v>968.3367499999999</v>
      </c>
      <c r="F104" s="15">
        <f>((F41-F14)*(B104-100000)/150000)+F14</f>
        <v>632.83725</v>
      </c>
      <c r="G104" s="18">
        <f>B104*0.035</f>
        <v>4580.1875</v>
      </c>
      <c r="H104" s="81">
        <f t="shared" si="50"/>
        <v>11415.8615</v>
      </c>
      <c r="I104" s="15">
        <f t="shared" si="62"/>
        <v>6835.674000000001</v>
      </c>
      <c r="J104" s="15">
        <f t="shared" si="63"/>
        <v>6202.83675</v>
      </c>
      <c r="K104" s="84">
        <v>0.16</v>
      </c>
      <c r="L104" s="5"/>
      <c r="M104" s="35">
        <f t="shared" si="51"/>
        <v>0.08723554494221034</v>
      </c>
      <c r="N104" s="33">
        <f t="shared" si="52"/>
        <v>0.035</v>
      </c>
      <c r="O104" s="33">
        <f t="shared" si="53"/>
        <v>0.004835894545801892</v>
      </c>
      <c r="P104" s="36">
        <f t="shared" si="54"/>
        <v>0.04739965039640845</v>
      </c>
      <c r="Q104" s="26">
        <f t="shared" si="55"/>
        <v>0.40121260230776273</v>
      </c>
      <c r="R104" s="27">
        <f t="shared" si="56"/>
        <v>0.05543490957734552</v>
      </c>
      <c r="S104" s="28">
        <f t="shared" si="57"/>
        <v>0.5433524881148917</v>
      </c>
      <c r="T104" s="26">
        <f t="shared" si="58"/>
        <v>0.8438880807237108</v>
      </c>
      <c r="U104" s="27"/>
      <c r="V104" s="28">
        <f t="shared" si="59"/>
        <v>0.15611191927628917</v>
      </c>
      <c r="W104" s="26">
        <f t="shared" si="60"/>
        <v>0.04</v>
      </c>
      <c r="X104" s="27"/>
      <c r="Y104" s="28">
        <f t="shared" si="61"/>
        <v>0.007399650396408443</v>
      </c>
      <c r="Z104" s="27"/>
    </row>
    <row r="105" spans="1:26" ht="15.75">
      <c r="A105" s="12" t="s">
        <v>15</v>
      </c>
      <c r="B105" s="90">
        <v>130000</v>
      </c>
      <c r="C105" s="18">
        <f>B105*0.04</f>
        <v>5200</v>
      </c>
      <c r="D105" s="15">
        <f>((D76-D42)*(B105-250000)/250000)+D42</f>
        <v>500</v>
      </c>
      <c r="E105" s="18">
        <f>B105*(0.012+2*0.005)+200+2*220+500</f>
        <v>4000</v>
      </c>
      <c r="F105" s="18">
        <f>B105*(0.00475+0.00775)</f>
        <v>1625</v>
      </c>
      <c r="G105" s="18">
        <f>(B105*0.11)+(B105*0.11)*0.03</f>
        <v>14729</v>
      </c>
      <c r="H105" s="81">
        <f t="shared" si="50"/>
        <v>26054</v>
      </c>
      <c r="I105" s="15">
        <f t="shared" si="62"/>
        <v>11325</v>
      </c>
      <c r="J105" s="15">
        <f t="shared" si="63"/>
        <v>9700</v>
      </c>
      <c r="K105" s="84">
        <v>0.19</v>
      </c>
      <c r="L105" s="5"/>
      <c r="M105" s="35">
        <f t="shared" si="51"/>
        <v>0.2004153846153846</v>
      </c>
      <c r="N105" s="33">
        <f t="shared" si="52"/>
        <v>0.1133</v>
      </c>
      <c r="O105" s="33">
        <f t="shared" si="53"/>
        <v>0.0125</v>
      </c>
      <c r="P105" s="36">
        <f t="shared" si="54"/>
        <v>0.07461538461538461</v>
      </c>
      <c r="Q105" s="26">
        <f t="shared" si="55"/>
        <v>0.5653258616719122</v>
      </c>
      <c r="R105" s="27">
        <f t="shared" si="56"/>
        <v>0.06237046134950487</v>
      </c>
      <c r="S105" s="28">
        <f t="shared" si="57"/>
        <v>0.37230367697858296</v>
      </c>
      <c r="T105" s="26">
        <f t="shared" si="58"/>
        <v>0.5360824742268041</v>
      </c>
      <c r="U105" s="27">
        <f>D105/J105</f>
        <v>0.05154639175257732</v>
      </c>
      <c r="V105" s="28">
        <f t="shared" si="59"/>
        <v>0.41237113402061853</v>
      </c>
      <c r="W105" s="26">
        <f t="shared" si="60"/>
        <v>0.04</v>
      </c>
      <c r="X105" s="27">
        <f>D105/B105</f>
        <v>0.0038461538461538464</v>
      </c>
      <c r="Y105" s="28">
        <f t="shared" si="61"/>
        <v>0.03076923076923077</v>
      </c>
      <c r="Z105" s="27"/>
    </row>
    <row r="106" spans="1:26" ht="15.75">
      <c r="A106" s="12" t="s">
        <v>19</v>
      </c>
      <c r="B106" s="90">
        <v>100000</v>
      </c>
      <c r="C106" s="18">
        <f>B106*0.065</f>
        <v>6500</v>
      </c>
      <c r="D106" s="16" t="s">
        <v>43</v>
      </c>
      <c r="E106" s="15">
        <f>((E43-E16)*(B106-100000)/150000)+E16</f>
        <v>2040</v>
      </c>
      <c r="F106" s="18">
        <f>18+44</f>
        <v>62</v>
      </c>
      <c r="G106" s="15">
        <f>((G43-G16)*(B106-100000)/150000)+G16</f>
        <v>5420</v>
      </c>
      <c r="H106" s="81">
        <f t="shared" si="50"/>
        <v>14022</v>
      </c>
      <c r="I106" s="15">
        <f>SUM(C106:F106)</f>
        <v>8602</v>
      </c>
      <c r="J106" s="15">
        <f>SUM(C106:E106)</f>
        <v>8540</v>
      </c>
      <c r="K106" s="84">
        <v>0.2</v>
      </c>
      <c r="L106" s="5"/>
      <c r="M106" s="35">
        <f t="shared" si="51"/>
        <v>0.14022</v>
      </c>
      <c r="N106" s="33">
        <f t="shared" si="52"/>
        <v>0.0542</v>
      </c>
      <c r="O106" s="33">
        <f t="shared" si="53"/>
        <v>0.00062</v>
      </c>
      <c r="P106" s="36">
        <f t="shared" si="54"/>
        <v>0.0854</v>
      </c>
      <c r="Q106" s="26">
        <f t="shared" si="55"/>
        <v>0.3865354443018114</v>
      </c>
      <c r="R106" s="27">
        <f t="shared" si="56"/>
        <v>0.004421623163600057</v>
      </c>
      <c r="S106" s="28">
        <f t="shared" si="57"/>
        <v>0.6090429325345885</v>
      </c>
      <c r="T106" s="26">
        <f t="shared" si="58"/>
        <v>0.7611241217798594</v>
      </c>
      <c r="U106" s="27"/>
      <c r="V106" s="28">
        <f t="shared" si="59"/>
        <v>0.2388758782201405</v>
      </c>
      <c r="W106" s="26">
        <f t="shared" si="60"/>
        <v>0.065</v>
      </c>
      <c r="X106" s="27"/>
      <c r="Y106" s="28">
        <f t="shared" si="61"/>
        <v>0.0204</v>
      </c>
      <c r="Z106" s="27"/>
    </row>
    <row r="107" spans="1:26" ht="15.75">
      <c r="A107" s="12" t="s">
        <v>4</v>
      </c>
      <c r="B107" s="89">
        <f>(276221+330399)/2</f>
        <v>303310</v>
      </c>
      <c r="C107" s="15">
        <f>((C78-C44)*(B107-250000)/250000)+C44</f>
        <v>2959.58</v>
      </c>
      <c r="D107" s="15">
        <f>((D78-D44)*(B107-250000)/250000)+D44</f>
        <v>678.676</v>
      </c>
      <c r="E107" s="15">
        <f>((E78-E44)*(B107-250000)/250000)+E44</f>
        <v>2426.48</v>
      </c>
      <c r="F107" s="15">
        <f>((F78-F44)*(B107-250000)/250000)+F44</f>
        <v>428.31</v>
      </c>
      <c r="G107" s="15">
        <f>((G78-G44)*(B107-250000)/250000)+G44</f>
        <v>15864.1</v>
      </c>
      <c r="H107" s="81">
        <f aca="true" t="shared" si="64" ref="H107:H116">SUM(C107:G107)</f>
        <v>22357.146</v>
      </c>
      <c r="I107" s="15">
        <f aca="true" t="shared" si="65" ref="I107:I116">SUM(C107:F107)</f>
        <v>6493.046</v>
      </c>
      <c r="J107" s="15">
        <f aca="true" t="shared" si="66" ref="J107:J116">SUM(C107:E107)</f>
        <v>6064.736</v>
      </c>
      <c r="K107" s="84">
        <v>0.21</v>
      </c>
      <c r="L107" s="5"/>
      <c r="M107" s="35">
        <f t="shared" si="51"/>
        <v>0.07371054696515117</v>
      </c>
      <c r="N107" s="33">
        <f t="shared" si="52"/>
        <v>0.05230325409646896</v>
      </c>
      <c r="O107" s="33">
        <f t="shared" si="53"/>
        <v>0.0014121196135966504</v>
      </c>
      <c r="P107" s="36">
        <f t="shared" si="54"/>
        <v>0.019995173255085555</v>
      </c>
      <c r="Q107" s="26">
        <f t="shared" si="55"/>
        <v>0.7095762580787369</v>
      </c>
      <c r="R107" s="27">
        <f t="shared" si="56"/>
        <v>0.019157633089661803</v>
      </c>
      <c r="S107" s="28">
        <f t="shared" si="57"/>
        <v>0.2712661088316013</v>
      </c>
      <c r="T107" s="26">
        <f t="shared" si="58"/>
        <v>0.487998158534848</v>
      </c>
      <c r="U107" s="27">
        <f>D107/J107</f>
        <v>0.11190528326377275</v>
      </c>
      <c r="V107" s="28">
        <f t="shared" si="59"/>
        <v>0.40009655820137924</v>
      </c>
      <c r="W107" s="26">
        <f t="shared" si="60"/>
        <v>0.009757607728066994</v>
      </c>
      <c r="X107" s="27">
        <f>D107/B107</f>
        <v>0.002237565527018562</v>
      </c>
      <c r="Y107" s="28">
        <f t="shared" si="61"/>
        <v>0.008</v>
      </c>
      <c r="Z107" s="27"/>
    </row>
    <row r="108" spans="1:26" ht="15.75">
      <c r="A108" s="12" t="s">
        <v>5</v>
      </c>
      <c r="B108" s="89">
        <v>129532</v>
      </c>
      <c r="C108" s="18">
        <f>B108*0.06</f>
        <v>7771.92</v>
      </c>
      <c r="D108" s="16" t="s">
        <v>43</v>
      </c>
      <c r="E108" s="15">
        <f aca="true" t="shared" si="67" ref="E108:E115">((E45-E18)*(B108-100000)/150000)+E18</f>
        <v>2892.4744</v>
      </c>
      <c r="F108" s="18">
        <f>90+35+24.71</f>
        <v>149.71</v>
      </c>
      <c r="G108" s="18">
        <f>(B108/2*0.03)+2*168+230</f>
        <v>2508.98</v>
      </c>
      <c r="H108" s="81">
        <f t="shared" si="64"/>
        <v>13323.0844</v>
      </c>
      <c r="I108" s="15">
        <f t="shared" si="65"/>
        <v>10814.1044</v>
      </c>
      <c r="J108" s="15">
        <f t="shared" si="66"/>
        <v>10664.394400000001</v>
      </c>
      <c r="K108" s="84">
        <v>0.2</v>
      </c>
      <c r="L108" s="5"/>
      <c r="M108" s="35">
        <f t="shared" si="51"/>
        <v>0.1028555445758577</v>
      </c>
      <c r="N108" s="33">
        <f t="shared" si="52"/>
        <v>0.01936957662971312</v>
      </c>
      <c r="O108" s="33">
        <f t="shared" si="53"/>
        <v>0.0011557761788592782</v>
      </c>
      <c r="P108" s="36">
        <f t="shared" si="54"/>
        <v>0.08233019176728532</v>
      </c>
      <c r="Q108" s="26">
        <f t="shared" si="55"/>
        <v>0.18831825459275783</v>
      </c>
      <c r="R108" s="27">
        <f t="shared" si="56"/>
        <v>0.011236887458282559</v>
      </c>
      <c r="S108" s="28">
        <f t="shared" si="57"/>
        <v>0.8004448579489597</v>
      </c>
      <c r="T108" s="26">
        <f t="shared" si="58"/>
        <v>0.7287727468143901</v>
      </c>
      <c r="U108" s="27"/>
      <c r="V108" s="28">
        <f t="shared" si="59"/>
        <v>0.27122725318560986</v>
      </c>
      <c r="W108" s="26">
        <f t="shared" si="60"/>
        <v>0.06</v>
      </c>
      <c r="X108" s="27"/>
      <c r="Y108" s="28">
        <f t="shared" si="61"/>
        <v>0.022330191767285304</v>
      </c>
      <c r="Z108" s="27"/>
    </row>
    <row r="109" spans="1:26" ht="15.75">
      <c r="A109" s="12" t="s">
        <v>6</v>
      </c>
      <c r="B109" s="133">
        <v>202000</v>
      </c>
      <c r="C109" s="15">
        <f>((C46-C19)*(B109-100000)/150000)+C19</f>
        <v>3737</v>
      </c>
      <c r="D109" s="16" t="s">
        <v>43</v>
      </c>
      <c r="E109" s="15">
        <f t="shared" si="67"/>
        <v>1310</v>
      </c>
      <c r="F109" s="18">
        <v>186</v>
      </c>
      <c r="G109" s="18">
        <f>B109*0.06</f>
        <v>12120</v>
      </c>
      <c r="H109" s="81">
        <f t="shared" si="64"/>
        <v>17353</v>
      </c>
      <c r="I109" s="15">
        <f t="shared" si="65"/>
        <v>5233</v>
      </c>
      <c r="J109" s="15">
        <f t="shared" si="66"/>
        <v>5047</v>
      </c>
      <c r="K109" s="84">
        <v>0.19</v>
      </c>
      <c r="L109" s="5"/>
      <c r="M109" s="35">
        <f t="shared" si="51"/>
        <v>0.08590594059405941</v>
      </c>
      <c r="N109" s="33">
        <f t="shared" si="52"/>
        <v>0.06</v>
      </c>
      <c r="O109" s="33">
        <f t="shared" si="53"/>
        <v>0.0009207920792079207</v>
      </c>
      <c r="P109" s="36">
        <f t="shared" si="54"/>
        <v>0.024985148514851487</v>
      </c>
      <c r="Q109" s="26">
        <f t="shared" si="55"/>
        <v>0.6984383103786089</v>
      </c>
      <c r="R109" s="27">
        <f t="shared" si="56"/>
        <v>0.010718607733533107</v>
      </c>
      <c r="S109" s="28">
        <f t="shared" si="57"/>
        <v>0.290843081887858</v>
      </c>
      <c r="T109" s="26">
        <f t="shared" si="58"/>
        <v>0.740439865266495</v>
      </c>
      <c r="U109" s="27"/>
      <c r="V109" s="28">
        <f t="shared" si="59"/>
        <v>0.25956013473350503</v>
      </c>
      <c r="W109" s="26">
        <f t="shared" si="60"/>
        <v>0.0185</v>
      </c>
      <c r="X109" s="27"/>
      <c r="Y109" s="28">
        <f t="shared" si="61"/>
        <v>0.006485148514851485</v>
      </c>
      <c r="Z109" s="27"/>
    </row>
    <row r="110" spans="1:26" ht="15.75">
      <c r="A110" s="12" t="s">
        <v>7</v>
      </c>
      <c r="B110" s="90">
        <v>100000</v>
      </c>
      <c r="C110" s="15">
        <f>((C47-C20)*(B110-100000)/150000)+C20</f>
        <v>2000</v>
      </c>
      <c r="D110" s="15">
        <f>((D47-D20)*(B110-100000)/150000)+D20</f>
        <v>250</v>
      </c>
      <c r="E110" s="15">
        <f t="shared" si="67"/>
        <v>677</v>
      </c>
      <c r="F110" s="18">
        <v>50</v>
      </c>
      <c r="G110" s="18">
        <f>B110*0.12025</f>
        <v>12025</v>
      </c>
      <c r="H110" s="81">
        <f t="shared" si="64"/>
        <v>15002</v>
      </c>
      <c r="I110" s="15">
        <f t="shared" si="65"/>
        <v>2977</v>
      </c>
      <c r="J110" s="15">
        <f t="shared" si="66"/>
        <v>2927</v>
      </c>
      <c r="K110" s="84">
        <v>0.22</v>
      </c>
      <c r="L110" s="5"/>
      <c r="M110" s="35">
        <f t="shared" si="51"/>
        <v>0.15002</v>
      </c>
      <c r="N110" s="33">
        <f t="shared" si="52"/>
        <v>0.12025</v>
      </c>
      <c r="O110" s="33">
        <f t="shared" si="53"/>
        <v>0.0005</v>
      </c>
      <c r="P110" s="36">
        <f t="shared" si="54"/>
        <v>0.02927</v>
      </c>
      <c r="Q110" s="26">
        <f aca="true" t="shared" si="68" ref="Q110:Q116">G110/H110</f>
        <v>0.8015597920277296</v>
      </c>
      <c r="R110" s="27">
        <f aca="true" t="shared" si="69" ref="R110:R116">F110/H110</f>
        <v>0.003332888948140248</v>
      </c>
      <c r="S110" s="28">
        <f aca="true" t="shared" si="70" ref="S110:S116">J110/H110</f>
        <v>0.19510731902413012</v>
      </c>
      <c r="T110" s="26">
        <f aca="true" t="shared" si="71" ref="T110:T116">C110/J110</f>
        <v>0.683293474547318</v>
      </c>
      <c r="U110" s="27">
        <f>D110/J110</f>
        <v>0.08541168431841475</v>
      </c>
      <c r="V110" s="28">
        <f aca="true" t="shared" si="72" ref="V110:V116">E110/J110</f>
        <v>0.23129484113426715</v>
      </c>
      <c r="W110" s="26">
        <f t="shared" si="60"/>
        <v>0.02</v>
      </c>
      <c r="X110" s="27">
        <f>D110/B110</f>
        <v>0.0025</v>
      </c>
      <c r="Y110" s="28">
        <f t="shared" si="61"/>
        <v>0.00677</v>
      </c>
      <c r="Z110" s="27"/>
    </row>
    <row r="111" spans="1:26" ht="15.75">
      <c r="A111" s="12" t="s">
        <v>189</v>
      </c>
      <c r="B111" s="90">
        <v>100000</v>
      </c>
      <c r="C111" s="15">
        <f>((C48-C21)*(B111-100000)/150000)+C21</f>
        <v>3750</v>
      </c>
      <c r="D111" s="15">
        <f>((D48-D21)*(B111-100000)/150000)+D21</f>
        <v>275</v>
      </c>
      <c r="E111" s="15">
        <f t="shared" si="67"/>
        <v>536.5</v>
      </c>
      <c r="F111" s="15">
        <f>((F48-F21)*(B111-100000)/150000)+F21</f>
        <v>260</v>
      </c>
      <c r="G111" s="15">
        <f>((G48-G21)*(B111-100000)/150000)+G21</f>
        <v>1400</v>
      </c>
      <c r="H111" s="81">
        <f t="shared" si="64"/>
        <v>6221.5</v>
      </c>
      <c r="I111" s="15">
        <f t="shared" si="65"/>
        <v>4821.5</v>
      </c>
      <c r="J111" s="15">
        <f t="shared" si="66"/>
        <v>4561.5</v>
      </c>
      <c r="K111" s="84">
        <v>0.21</v>
      </c>
      <c r="L111" s="5"/>
      <c r="M111" s="35">
        <f>H111/B111</f>
        <v>0.062215</v>
      </c>
      <c r="N111" s="33">
        <f>G111/B111</f>
        <v>0.014</v>
      </c>
      <c r="O111" s="33">
        <f>F111/B111</f>
        <v>0.0026</v>
      </c>
      <c r="P111" s="36">
        <f>J111/B111</f>
        <v>0.045615</v>
      </c>
      <c r="Q111" s="26">
        <f t="shared" si="68"/>
        <v>0.22502611910311018</v>
      </c>
      <c r="R111" s="27">
        <f t="shared" si="69"/>
        <v>0.04179056497629189</v>
      </c>
      <c r="S111" s="28">
        <f t="shared" si="70"/>
        <v>0.7331833159205979</v>
      </c>
      <c r="T111" s="26">
        <f t="shared" si="71"/>
        <v>0.8220979940808945</v>
      </c>
      <c r="U111" s="27">
        <f>D111/J111</f>
        <v>0.060287186232598926</v>
      </c>
      <c r="V111" s="28">
        <f t="shared" si="72"/>
        <v>0.11761481968650662</v>
      </c>
      <c r="W111" s="26">
        <f>C111/B111</f>
        <v>0.0375</v>
      </c>
      <c r="X111" s="27">
        <f>D111/B111</f>
        <v>0.00275</v>
      </c>
      <c r="Y111" s="28">
        <f>E111/B111</f>
        <v>0.005365</v>
      </c>
      <c r="Z111" s="27"/>
    </row>
    <row r="112" spans="1:26" ht="15.75">
      <c r="A112" s="19" t="s">
        <v>8</v>
      </c>
      <c r="B112" s="89">
        <v>193860</v>
      </c>
      <c r="C112" s="15">
        <f>B112*0.01</f>
        <v>1938.6000000000001</v>
      </c>
      <c r="D112" s="15">
        <f>((D49-D22)*(B112-100000)/150000)+D22</f>
        <v>516.9128000000001</v>
      </c>
      <c r="E112" s="15">
        <f t="shared" si="67"/>
        <v>1668.4685333333334</v>
      </c>
      <c r="F112" s="15">
        <f>((F49-F22)*(B112-100000)/150000)+F22</f>
        <v>464.98906666666664</v>
      </c>
      <c r="G112" s="18">
        <f>B112*0.01</f>
        <v>1938.6000000000001</v>
      </c>
      <c r="H112" s="81">
        <f t="shared" si="64"/>
        <v>6527.570400000001</v>
      </c>
      <c r="I112" s="15">
        <f t="shared" si="65"/>
        <v>4588.970400000001</v>
      </c>
      <c r="J112" s="15">
        <f t="shared" si="66"/>
        <v>4123.981333333334</v>
      </c>
      <c r="K112" s="84">
        <v>0.175</v>
      </c>
      <c r="L112" s="5"/>
      <c r="M112" s="35">
        <f t="shared" si="51"/>
        <v>0.03367156917363046</v>
      </c>
      <c r="N112" s="33">
        <f t="shared" si="52"/>
        <v>0.01</v>
      </c>
      <c r="O112" s="33">
        <f t="shared" si="53"/>
        <v>0.0023985817944220914</v>
      </c>
      <c r="P112" s="36">
        <f t="shared" si="54"/>
        <v>0.021272987379208366</v>
      </c>
      <c r="Q112" s="26">
        <f t="shared" si="68"/>
        <v>0.29698645609398555</v>
      </c>
      <c r="R112" s="27">
        <f t="shared" si="69"/>
        <v>0.07123463067769695</v>
      </c>
      <c r="S112" s="28">
        <f t="shared" si="70"/>
        <v>0.6317789132283174</v>
      </c>
      <c r="T112" s="26">
        <f t="shared" si="71"/>
        <v>0.47007972231364764</v>
      </c>
      <c r="U112" s="27">
        <f>D112/J112</f>
        <v>0.12534314736633143</v>
      </c>
      <c r="V112" s="28">
        <f t="shared" si="72"/>
        <v>0.4045771303200208</v>
      </c>
      <c r="W112" s="26">
        <f t="shared" si="60"/>
        <v>0.01</v>
      </c>
      <c r="X112" s="27">
        <f>D112/B112</f>
        <v>0.002666423191994223</v>
      </c>
      <c r="Y112" s="28">
        <f t="shared" si="61"/>
        <v>0.00860656418721414</v>
      </c>
      <c r="Z112" s="27"/>
    </row>
    <row r="113" spans="1:26" ht="15.75">
      <c r="A113" s="19" t="s">
        <v>188</v>
      </c>
      <c r="B113" s="90">
        <v>100000</v>
      </c>
      <c r="C113" s="15">
        <f>((C50-C23)*(B113-100000)/150000)+C23</f>
        <v>2150</v>
      </c>
      <c r="D113" s="18">
        <v>1020</v>
      </c>
      <c r="E113" s="15">
        <f t="shared" si="67"/>
        <v>420</v>
      </c>
      <c r="F113" s="15">
        <f>((F50-F23)*(B113-100000)/150000)+F23</f>
        <v>60</v>
      </c>
      <c r="G113" s="15">
        <f>((G50-G23)*(B113-100000)/150000)+G23</f>
        <v>0</v>
      </c>
      <c r="H113" s="81">
        <f t="shared" si="64"/>
        <v>3650</v>
      </c>
      <c r="I113" s="15">
        <f t="shared" si="65"/>
        <v>3650</v>
      </c>
      <c r="J113" s="15">
        <f t="shared" si="66"/>
        <v>3590</v>
      </c>
      <c r="K113" s="84">
        <v>0.19</v>
      </c>
      <c r="L113" s="5"/>
      <c r="M113" s="35">
        <f>H113/B113</f>
        <v>0.0365</v>
      </c>
      <c r="N113" s="33">
        <f>G113/B113</f>
        <v>0</v>
      </c>
      <c r="O113" s="33">
        <f>F113/B113</f>
        <v>0.0006</v>
      </c>
      <c r="P113" s="36">
        <f>J113/B113</f>
        <v>0.0359</v>
      </c>
      <c r="Q113" s="26">
        <f t="shared" si="68"/>
        <v>0</v>
      </c>
      <c r="R113" s="27">
        <f t="shared" si="69"/>
        <v>0.01643835616438356</v>
      </c>
      <c r="S113" s="28">
        <f t="shared" si="70"/>
        <v>0.9835616438356164</v>
      </c>
      <c r="T113" s="26">
        <f t="shared" si="71"/>
        <v>0.5988857938718662</v>
      </c>
      <c r="U113" s="27">
        <f>D113/J113</f>
        <v>0.2841225626740947</v>
      </c>
      <c r="V113" s="28">
        <f t="shared" si="72"/>
        <v>0.116991643454039</v>
      </c>
      <c r="W113" s="26">
        <f>C113/B113</f>
        <v>0.0215</v>
      </c>
      <c r="X113" s="27">
        <f>D113/B113</f>
        <v>0.0102</v>
      </c>
      <c r="Y113" s="28">
        <f>E113/B113</f>
        <v>0.0042</v>
      </c>
      <c r="Z113" s="27"/>
    </row>
    <row r="114" spans="1:26" ht="15.75">
      <c r="A114" s="12" t="s">
        <v>16</v>
      </c>
      <c r="B114" s="90">
        <v>100000</v>
      </c>
      <c r="C114" s="18">
        <f>B114*0.04</f>
        <v>4000</v>
      </c>
      <c r="D114" s="16" t="s">
        <v>43</v>
      </c>
      <c r="E114" s="15">
        <f t="shared" si="67"/>
        <v>877.5</v>
      </c>
      <c r="F114" s="18">
        <v>138</v>
      </c>
      <c r="G114" s="18">
        <f>B114*0.02</f>
        <v>2000</v>
      </c>
      <c r="H114" s="81">
        <f t="shared" si="64"/>
        <v>7015.5</v>
      </c>
      <c r="I114" s="15">
        <f t="shared" si="65"/>
        <v>5015.5</v>
      </c>
      <c r="J114" s="15">
        <f t="shared" si="66"/>
        <v>4877.5</v>
      </c>
      <c r="K114" s="84">
        <v>0.19</v>
      </c>
      <c r="L114" s="5"/>
      <c r="M114" s="35">
        <f t="shared" si="51"/>
        <v>0.070155</v>
      </c>
      <c r="N114" s="33">
        <f t="shared" si="52"/>
        <v>0.02</v>
      </c>
      <c r="O114" s="33">
        <f t="shared" si="53"/>
        <v>0.00138</v>
      </c>
      <c r="P114" s="36">
        <f t="shared" si="54"/>
        <v>0.048775</v>
      </c>
      <c r="Q114" s="26">
        <f t="shared" si="68"/>
        <v>0.2850830304326135</v>
      </c>
      <c r="R114" s="27">
        <f t="shared" si="69"/>
        <v>0.01967072909985033</v>
      </c>
      <c r="S114" s="28">
        <f t="shared" si="70"/>
        <v>0.6952462404675361</v>
      </c>
      <c r="T114" s="26">
        <f t="shared" si="71"/>
        <v>0.8200922603792927</v>
      </c>
      <c r="U114" s="27"/>
      <c r="V114" s="28">
        <f t="shared" si="72"/>
        <v>0.17990773962070733</v>
      </c>
      <c r="W114" s="26">
        <f t="shared" si="60"/>
        <v>0.04</v>
      </c>
      <c r="X114" s="27"/>
      <c r="Y114" s="28">
        <f t="shared" si="61"/>
        <v>0.008775</v>
      </c>
      <c r="Z114" s="27"/>
    </row>
    <row r="115" spans="1:26" ht="15.75">
      <c r="A115" s="12" t="s">
        <v>9</v>
      </c>
      <c r="B115" s="89">
        <v>172630</v>
      </c>
      <c r="C115" s="18">
        <f>B115*0.06</f>
        <v>10357.8</v>
      </c>
      <c r="D115" s="15">
        <f>((D52-D25)*(B115-100000)/150000)+D25</f>
        <v>164.8624</v>
      </c>
      <c r="E115" s="15">
        <f t="shared" si="67"/>
        <v>1239.4068</v>
      </c>
      <c r="F115" s="15">
        <f>((F52-F25)*(B115-100000)/150000)+F25</f>
        <v>320.5046</v>
      </c>
      <c r="G115" s="15">
        <f>((G52-G25)*(B115-100000)/150000)+G25</f>
        <v>15018.810000000001</v>
      </c>
      <c r="H115" s="81">
        <f t="shared" si="64"/>
        <v>27101.383800000003</v>
      </c>
      <c r="I115" s="15">
        <f t="shared" si="65"/>
        <v>12082.5738</v>
      </c>
      <c r="J115" s="15">
        <f t="shared" si="66"/>
        <v>11762.0692</v>
      </c>
      <c r="K115" s="84">
        <v>0.16</v>
      </c>
      <c r="L115" s="5"/>
      <c r="M115" s="35">
        <f t="shared" si="51"/>
        <v>0.15699115912645545</v>
      </c>
      <c r="N115" s="33">
        <f t="shared" si="52"/>
        <v>0.08700000000000001</v>
      </c>
      <c r="O115" s="33">
        <f t="shared" si="53"/>
        <v>0.0018565985054741353</v>
      </c>
      <c r="P115" s="36">
        <f t="shared" si="54"/>
        <v>0.06813456062098129</v>
      </c>
      <c r="Q115" s="26">
        <f t="shared" si="68"/>
        <v>0.5541713334947863</v>
      </c>
      <c r="R115" s="27">
        <f t="shared" si="69"/>
        <v>0.011826134132678492</v>
      </c>
      <c r="S115" s="28">
        <f t="shared" si="70"/>
        <v>0.4340025323725351</v>
      </c>
      <c r="T115" s="26">
        <f t="shared" si="71"/>
        <v>0.8806103606328043</v>
      </c>
      <c r="U115" s="27">
        <f>D115/J115</f>
        <v>0.014016445337696195</v>
      </c>
      <c r="V115" s="28">
        <f t="shared" si="72"/>
        <v>0.1053731940294995</v>
      </c>
      <c r="W115" s="26">
        <f t="shared" si="60"/>
        <v>0.06</v>
      </c>
      <c r="X115" s="27">
        <f>D115/B115</f>
        <v>0.0009550043445519319</v>
      </c>
      <c r="Y115" s="28">
        <f t="shared" si="61"/>
        <v>0.007179556276429358</v>
      </c>
      <c r="Z115" s="27"/>
    </row>
    <row r="116" spans="1:26" ht="15.75">
      <c r="A116" s="20" t="s">
        <v>10</v>
      </c>
      <c r="B116" s="89">
        <f>(180000+115000)/2</f>
        <v>147500</v>
      </c>
      <c r="C116" s="93">
        <f>((C53-C26)*(B116-100000)/150000)+C26</f>
        <v>4930</v>
      </c>
      <c r="D116" s="22">
        <f>((D53-D26)*(B116-100000)/150000)+D26</f>
        <v>400</v>
      </c>
      <c r="E116" s="21">
        <v>0</v>
      </c>
      <c r="F116" s="21">
        <v>130</v>
      </c>
      <c r="G116" s="21">
        <f>B116*0.035</f>
        <v>5162.500000000001</v>
      </c>
      <c r="H116" s="82">
        <f t="shared" si="64"/>
        <v>10622.5</v>
      </c>
      <c r="I116" s="22">
        <f t="shared" si="65"/>
        <v>5460</v>
      </c>
      <c r="J116" s="22">
        <f t="shared" si="66"/>
        <v>5330</v>
      </c>
      <c r="K116" s="85">
        <v>0.25</v>
      </c>
      <c r="L116" s="5"/>
      <c r="M116" s="72">
        <f t="shared" si="51"/>
        <v>0.07201694915254238</v>
      </c>
      <c r="N116" s="33">
        <f t="shared" si="52"/>
        <v>0.035</v>
      </c>
      <c r="O116" s="33">
        <f t="shared" si="53"/>
        <v>0.0008813559322033898</v>
      </c>
      <c r="P116" s="36">
        <f t="shared" si="54"/>
        <v>0.036135593220338984</v>
      </c>
      <c r="Q116" s="26">
        <f t="shared" si="68"/>
        <v>0.4859967051070841</v>
      </c>
      <c r="R116" s="27">
        <f t="shared" si="69"/>
        <v>0.012238173687926571</v>
      </c>
      <c r="S116" s="28">
        <f t="shared" si="70"/>
        <v>0.5017651212049894</v>
      </c>
      <c r="T116" s="44">
        <f t="shared" si="71"/>
        <v>0.924953095684803</v>
      </c>
      <c r="U116" s="27">
        <f>D116/J116</f>
        <v>0.075046904315197</v>
      </c>
      <c r="V116" s="45">
        <f t="shared" si="72"/>
        <v>0</v>
      </c>
      <c r="W116" s="44">
        <f t="shared" si="60"/>
        <v>0.033423728813559324</v>
      </c>
      <c r="X116" s="27">
        <f>D116/B116</f>
        <v>0.002711864406779661</v>
      </c>
      <c r="Y116" s="45">
        <f t="shared" si="61"/>
        <v>0</v>
      </c>
      <c r="Z116" s="55"/>
    </row>
    <row r="117" spans="1:26" ht="15.75">
      <c r="A117" s="42" t="s">
        <v>27</v>
      </c>
      <c r="B117" s="92">
        <f>SUM(B97:B116)/D118</f>
        <v>159828.6456677061</v>
      </c>
      <c r="C117" s="70">
        <f>(SUM(C97:C116))/D118</f>
        <v>5536.404575621385</v>
      </c>
      <c r="D117" s="70">
        <f>(SUM(D97:D116))/D118</f>
        <v>352.70506</v>
      </c>
      <c r="E117" s="70">
        <f>(SUM(E97:E116))/D118</f>
        <v>1509.4421805542981</v>
      </c>
      <c r="F117" s="70">
        <f>(SUM(F97:F116))/D118</f>
        <v>721.9688310015591</v>
      </c>
      <c r="G117" s="70">
        <f>(SUM(G97:G116))/D118</f>
        <v>7019.744805785929</v>
      </c>
      <c r="H117" s="82">
        <f>(SUM(H97:H116))/D118</f>
        <v>15140.265452963173</v>
      </c>
      <c r="I117" s="70">
        <f>(SUM(I97:I116))/D118</f>
        <v>8120.520647177243</v>
      </c>
      <c r="J117" s="70">
        <f>(SUM(J97:J116))/D118</f>
        <v>7398.551816175683</v>
      </c>
      <c r="K117" s="41"/>
      <c r="L117" s="29" t="s">
        <v>27</v>
      </c>
      <c r="M117" s="71">
        <f>(SUM(M97:M116))/D118</f>
        <v>0.09808979246495564</v>
      </c>
      <c r="N117" s="53">
        <f>(SUM(N97:N116))/D118</f>
        <v>0.04442700299726629</v>
      </c>
      <c r="O117" s="53">
        <f>(SUM(O97:O116))/D118</f>
        <v>0.004252674193035224</v>
      </c>
      <c r="P117" s="53">
        <f>(SUM(P97:P116))/D118</f>
        <v>0.049410115274654144</v>
      </c>
      <c r="Q117" s="52">
        <f>(SUM(Q97:Q116))/D118</f>
        <v>0.39340951675513947</v>
      </c>
      <c r="R117" s="53">
        <f>(SUM(R97:R116))/D118</f>
        <v>0.047199326791607946</v>
      </c>
      <c r="S117" s="53">
        <f>(SUM(S97:S116))/D118</f>
        <v>0.5593911564532525</v>
      </c>
      <c r="T117" s="52">
        <f>(SUM(T97:T116))/D118</f>
        <v>0.7313929058593057</v>
      </c>
      <c r="U117" s="53">
        <f>(SUM(U97:U116))/D118</f>
        <v>0.0621312398993499</v>
      </c>
      <c r="V117" s="53">
        <f>(SUM(V97:V116))/D118</f>
        <v>0.20647585424134435</v>
      </c>
      <c r="W117" s="52">
        <f>(SUM(W97:W116))/D118</f>
        <v>0.03718562996118678</v>
      </c>
      <c r="X117" s="53">
        <f>(SUM(X97:X116))/I118</f>
        <v>0.0035105034335103486</v>
      </c>
      <c r="Y117" s="54">
        <f>(SUM(Y97:Y116))/D118</f>
        <v>0.009942658081685636</v>
      </c>
      <c r="Z117" s="32"/>
    </row>
    <row r="118" spans="1:26" ht="15.75">
      <c r="A118" s="64"/>
      <c r="C118" s="65" t="s">
        <v>44</v>
      </c>
      <c r="D118" s="66">
        <v>20</v>
      </c>
      <c r="E118" s="67"/>
      <c r="F118" s="65"/>
      <c r="G118" s="65"/>
      <c r="H118" s="65" t="s">
        <v>52</v>
      </c>
      <c r="I118" s="66">
        <v>13</v>
      </c>
      <c r="J118" s="68"/>
      <c r="K118" s="41"/>
      <c r="L118" s="3"/>
      <c r="M118" s="3"/>
      <c r="N118" s="3"/>
      <c r="O118" s="3"/>
      <c r="P118" s="3"/>
      <c r="T118" s="50" t="s">
        <v>51</v>
      </c>
      <c r="U118" s="31">
        <f>(SUM(U97:U116))/I118</f>
        <v>0.09558652292207677</v>
      </c>
      <c r="W118" s="47"/>
      <c r="X118" s="46"/>
      <c r="Y118" s="47"/>
      <c r="Z118" s="49"/>
    </row>
    <row r="119" spans="2:26" ht="15.75">
      <c r="B119" s="87"/>
      <c r="C119" s="69"/>
      <c r="L119" s="3"/>
      <c r="M119" s="3"/>
      <c r="N119" s="3"/>
      <c r="O119" s="3"/>
      <c r="P119" s="3"/>
      <c r="V119" s="48" t="s">
        <v>61</v>
      </c>
      <c r="W119" s="48"/>
      <c r="Y119" s="48"/>
      <c r="Z119" s="48"/>
    </row>
    <row r="120" spans="1:2" ht="12.75">
      <c r="A120" t="s">
        <v>59</v>
      </c>
      <c r="B120" s="91" t="s">
        <v>60</v>
      </c>
    </row>
    <row r="121" ht="12.75">
      <c r="A121" s="79" t="s">
        <v>109</v>
      </c>
    </row>
    <row r="122" ht="12.75">
      <c r="A122" t="s">
        <v>108</v>
      </c>
    </row>
    <row r="126" ht="12.75">
      <c r="B126" s="6" t="s">
        <v>159</v>
      </c>
    </row>
    <row r="129" spans="1:17" ht="12.75">
      <c r="A129" s="7"/>
      <c r="B129" s="8"/>
      <c r="C129" s="128"/>
      <c r="D129" s="30" t="s">
        <v>106</v>
      </c>
      <c r="E129" s="8"/>
      <c r="F129" s="154" t="s">
        <v>58</v>
      </c>
      <c r="G129" s="97" t="s">
        <v>67</v>
      </c>
      <c r="H129" s="40" t="s">
        <v>68</v>
      </c>
      <c r="I129" s="30" t="s">
        <v>69</v>
      </c>
      <c r="J129" s="99" t="s">
        <v>111</v>
      </c>
      <c r="K129" s="116"/>
      <c r="L129" s="40" t="s">
        <v>110</v>
      </c>
      <c r="M129" s="11"/>
      <c r="N129" s="40"/>
      <c r="O129" s="30" t="s">
        <v>70</v>
      </c>
      <c r="P129" s="30"/>
      <c r="Q129" s="99"/>
    </row>
    <row r="130" spans="1:17" ht="12.75">
      <c r="A130" s="12"/>
      <c r="B130" s="4" t="s">
        <v>105</v>
      </c>
      <c r="C130" s="103">
        <v>100000</v>
      </c>
      <c r="D130" s="100">
        <v>250000</v>
      </c>
      <c r="E130" s="100">
        <v>500000</v>
      </c>
      <c r="F130" s="155" t="s">
        <v>71</v>
      </c>
      <c r="G130" s="101" t="s">
        <v>72</v>
      </c>
      <c r="H130" s="102" t="s">
        <v>73</v>
      </c>
      <c r="I130" s="135" t="s">
        <v>93</v>
      </c>
      <c r="J130" s="153" t="s">
        <v>112</v>
      </c>
      <c r="K130" s="117" t="s">
        <v>94</v>
      </c>
      <c r="L130" s="152" t="s">
        <v>95</v>
      </c>
      <c r="M130" s="39" t="s">
        <v>111</v>
      </c>
      <c r="N130" s="103">
        <v>100000</v>
      </c>
      <c r="O130" s="100">
        <v>250000</v>
      </c>
      <c r="P130" s="100">
        <v>500000</v>
      </c>
      <c r="Q130" s="113" t="s">
        <v>27</v>
      </c>
    </row>
    <row r="131" spans="1:17" ht="12.75">
      <c r="A131" s="56" t="s">
        <v>11</v>
      </c>
      <c r="B131" s="58"/>
      <c r="C131" s="57"/>
      <c r="D131" s="104"/>
      <c r="E131" s="58"/>
      <c r="F131" s="118" t="s">
        <v>74</v>
      </c>
      <c r="G131" s="58"/>
      <c r="H131" s="57">
        <v>2005</v>
      </c>
      <c r="I131" s="58"/>
      <c r="J131" s="140" t="s">
        <v>113</v>
      </c>
      <c r="K131" s="118" t="s">
        <v>73</v>
      </c>
      <c r="L131" s="105" t="s">
        <v>96</v>
      </c>
      <c r="M131" s="140" t="s">
        <v>112</v>
      </c>
      <c r="N131" s="57"/>
      <c r="O131" s="58"/>
      <c r="P131" s="58"/>
      <c r="Q131" s="114" t="s">
        <v>94</v>
      </c>
    </row>
    <row r="132" spans="1:17" ht="12.75">
      <c r="A132" s="12" t="s">
        <v>6</v>
      </c>
      <c r="B132" s="18" t="s">
        <v>62</v>
      </c>
      <c r="C132" s="95">
        <f>E19</f>
        <v>1225</v>
      </c>
      <c r="D132" s="18">
        <f>E46</f>
        <v>1350</v>
      </c>
      <c r="E132" s="18">
        <f>E80</f>
        <v>2090</v>
      </c>
      <c r="F132" s="96">
        <f>B109</f>
        <v>202000</v>
      </c>
      <c r="G132" s="18">
        <f>E109</f>
        <v>1310</v>
      </c>
      <c r="H132" s="94">
        <v>1.052</v>
      </c>
      <c r="I132" s="145">
        <v>1.064</v>
      </c>
      <c r="J132" s="136">
        <v>29554</v>
      </c>
      <c r="K132" s="96">
        <f aca="true" t="shared" si="73" ref="K132:K151">G132/H132</f>
        <v>1245.2471482889732</v>
      </c>
      <c r="L132" s="15">
        <f aca="true" t="shared" si="74" ref="L132:L151">G132/I132</f>
        <v>1231.203007518797</v>
      </c>
      <c r="M132" s="149">
        <f>G132*22827/J132</f>
        <v>1011.8214116532449</v>
      </c>
      <c r="N132" s="107">
        <f aca="true" t="shared" si="75" ref="N132:N151">C132/100000</f>
        <v>0.01225</v>
      </c>
      <c r="O132" s="108">
        <f aca="true" t="shared" si="76" ref="O132:O151">D132/250000</f>
        <v>0.0054</v>
      </c>
      <c r="P132" s="108">
        <f aca="true" t="shared" si="77" ref="P132:P151">E132/500000</f>
        <v>0.00418</v>
      </c>
      <c r="Q132" s="106">
        <f aca="true" t="shared" si="78" ref="Q132:Q151">G132/F132</f>
        <v>0.006485148514851485</v>
      </c>
    </row>
    <row r="133" spans="1:17" ht="12.75">
      <c r="A133" s="12" t="s">
        <v>48</v>
      </c>
      <c r="B133" s="18" t="s">
        <v>63</v>
      </c>
      <c r="C133" s="95">
        <f>E9</f>
        <v>1000</v>
      </c>
      <c r="D133" s="18">
        <f>E36</f>
        <v>1000</v>
      </c>
      <c r="E133" s="18">
        <f>E70</f>
        <v>1000</v>
      </c>
      <c r="F133" s="115">
        <f>B99</f>
        <v>100000</v>
      </c>
      <c r="G133" s="18">
        <f>E99</f>
        <v>1000</v>
      </c>
      <c r="H133" s="94">
        <v>0.578</v>
      </c>
      <c r="I133" s="145">
        <v>0.738</v>
      </c>
      <c r="J133" s="137">
        <v>7337</v>
      </c>
      <c r="K133" s="96">
        <f t="shared" si="73"/>
        <v>1730.1038062283737</v>
      </c>
      <c r="L133" s="15">
        <f t="shared" si="74"/>
        <v>1355.0135501355014</v>
      </c>
      <c r="M133" s="149">
        <f aca="true" t="shared" si="79" ref="M133:M151">G133*22827/J133</f>
        <v>3111.2171187133704</v>
      </c>
      <c r="N133" s="107">
        <f t="shared" si="75"/>
        <v>0.01</v>
      </c>
      <c r="O133" s="108">
        <f t="shared" si="76"/>
        <v>0.004</v>
      </c>
      <c r="P133" s="108">
        <f t="shared" si="77"/>
        <v>0.002</v>
      </c>
      <c r="Q133" s="109">
        <f t="shared" si="78"/>
        <v>0.01</v>
      </c>
    </row>
    <row r="134" spans="1:17" ht="12.75">
      <c r="A134" s="12" t="s">
        <v>0</v>
      </c>
      <c r="B134" s="18" t="s">
        <v>63</v>
      </c>
      <c r="C134" s="95">
        <f>E11</f>
        <v>1090</v>
      </c>
      <c r="D134" s="18">
        <f>E38</f>
        <v>1420</v>
      </c>
      <c r="E134" s="18">
        <f>E72</f>
        <v>1850</v>
      </c>
      <c r="F134" s="95">
        <f>B101</f>
        <v>297750</v>
      </c>
      <c r="G134" s="18">
        <f>E101</f>
        <v>1502.13</v>
      </c>
      <c r="H134" s="94">
        <v>1.049</v>
      </c>
      <c r="I134" s="145">
        <v>1.088</v>
      </c>
      <c r="J134" s="137">
        <v>33688</v>
      </c>
      <c r="K134" s="96">
        <f t="shared" si="73"/>
        <v>1431.9637750238323</v>
      </c>
      <c r="L134" s="15">
        <f t="shared" si="74"/>
        <v>1380.6341911764705</v>
      </c>
      <c r="M134" s="149">
        <f t="shared" si="79"/>
        <v>1017.8437874020424</v>
      </c>
      <c r="N134" s="107">
        <f t="shared" si="75"/>
        <v>0.0109</v>
      </c>
      <c r="O134" s="108">
        <f t="shared" si="76"/>
        <v>0.00568</v>
      </c>
      <c r="P134" s="108">
        <f t="shared" si="77"/>
        <v>0.0037</v>
      </c>
      <c r="Q134" s="109">
        <f t="shared" si="78"/>
        <v>0.005044937027707809</v>
      </c>
    </row>
    <row r="135" spans="1:17" ht="12.75">
      <c r="A135" s="19" t="s">
        <v>8</v>
      </c>
      <c r="B135" s="18" t="s">
        <v>63</v>
      </c>
      <c r="C135" s="95">
        <f>E22</f>
        <v>1482</v>
      </c>
      <c r="D135" s="18">
        <f>E49</f>
        <v>1780</v>
      </c>
      <c r="E135" s="18">
        <f>E83</f>
        <v>2372</v>
      </c>
      <c r="F135" s="95">
        <f>B112</f>
        <v>193860</v>
      </c>
      <c r="G135" s="18">
        <f>E112</f>
        <v>1668.4685333333334</v>
      </c>
      <c r="H135" s="94">
        <v>1.049</v>
      </c>
      <c r="I135" s="145">
        <v>1.088</v>
      </c>
      <c r="J135" s="137">
        <v>33688</v>
      </c>
      <c r="K135" s="96">
        <f t="shared" si="73"/>
        <v>1590.5324435970767</v>
      </c>
      <c r="L135" s="15">
        <f t="shared" si="74"/>
        <v>1533.5188725490195</v>
      </c>
      <c r="M135" s="149">
        <f t="shared" si="79"/>
        <v>1130.55483289005</v>
      </c>
      <c r="N135" s="107">
        <f t="shared" si="75"/>
        <v>0.01482</v>
      </c>
      <c r="O135" s="108">
        <f t="shared" si="76"/>
        <v>0.00712</v>
      </c>
      <c r="P135" s="108">
        <f t="shared" si="77"/>
        <v>0.004744</v>
      </c>
      <c r="Q135" s="109">
        <f t="shared" si="78"/>
        <v>0.00860656418721414</v>
      </c>
    </row>
    <row r="136" spans="1:17" ht="12.75">
      <c r="A136" s="12" t="s">
        <v>4</v>
      </c>
      <c r="B136" s="18" t="s">
        <v>63</v>
      </c>
      <c r="C136" s="95">
        <f>E17</f>
        <v>1000</v>
      </c>
      <c r="D136" s="18">
        <f>E44</f>
        <v>2000</v>
      </c>
      <c r="E136" s="18">
        <f>E78</f>
        <v>4000</v>
      </c>
      <c r="F136" s="95">
        <f>B107</f>
        <v>303310</v>
      </c>
      <c r="G136" s="18">
        <f>E107</f>
        <v>2426.48</v>
      </c>
      <c r="H136" s="94">
        <v>1.234</v>
      </c>
      <c r="I136" s="145">
        <v>1.204</v>
      </c>
      <c r="J136" s="137">
        <v>32233</v>
      </c>
      <c r="K136" s="96">
        <f t="shared" si="73"/>
        <v>1966.3533225283632</v>
      </c>
      <c r="L136" s="15">
        <f t="shared" si="74"/>
        <v>2015.3488372093025</v>
      </c>
      <c r="M136" s="149">
        <f t="shared" si="79"/>
        <v>1718.4022262898272</v>
      </c>
      <c r="N136" s="107">
        <f t="shared" si="75"/>
        <v>0.01</v>
      </c>
      <c r="O136" s="108">
        <f t="shared" si="76"/>
        <v>0.008</v>
      </c>
      <c r="P136" s="108">
        <f t="shared" si="77"/>
        <v>0.008</v>
      </c>
      <c r="Q136" s="109">
        <f t="shared" si="78"/>
        <v>0.008</v>
      </c>
    </row>
    <row r="137" spans="1:17" ht="12.75">
      <c r="A137" s="12" t="s">
        <v>188</v>
      </c>
      <c r="B137" s="18" t="s">
        <v>63</v>
      </c>
      <c r="C137" s="95">
        <f>E23</f>
        <v>420</v>
      </c>
      <c r="D137" s="18">
        <f>E50</f>
        <v>420</v>
      </c>
      <c r="E137" s="18">
        <f>E84</f>
        <v>420</v>
      </c>
      <c r="F137" s="115">
        <f>B113</f>
        <v>100000</v>
      </c>
      <c r="G137" s="18">
        <f>E113</f>
        <v>420</v>
      </c>
      <c r="H137" s="94">
        <v>0.576</v>
      </c>
      <c r="I137" s="145">
        <v>0.55</v>
      </c>
      <c r="J137" s="137">
        <v>5445</v>
      </c>
      <c r="K137" s="96">
        <f t="shared" si="73"/>
        <v>729.1666666666667</v>
      </c>
      <c r="L137" s="15">
        <f t="shared" si="74"/>
        <v>763.6363636363636</v>
      </c>
      <c r="M137" s="149">
        <f t="shared" si="79"/>
        <v>1760.7603305785124</v>
      </c>
      <c r="N137" s="107">
        <f>C137/100000</f>
        <v>0.0042</v>
      </c>
      <c r="O137" s="108">
        <f>D137/250000</f>
        <v>0.00168</v>
      </c>
      <c r="P137" s="108">
        <f>E137/500000</f>
        <v>0.00084</v>
      </c>
      <c r="Q137" s="109">
        <f>G137/F137</f>
        <v>0.0042</v>
      </c>
    </row>
    <row r="138" spans="1:17" ht="12.75">
      <c r="A138" s="12" t="s">
        <v>19</v>
      </c>
      <c r="B138" s="18" t="s">
        <v>65</v>
      </c>
      <c r="C138" s="95">
        <f>E16</f>
        <v>2040</v>
      </c>
      <c r="D138" s="18">
        <f>E43</f>
        <v>3770</v>
      </c>
      <c r="E138" s="18">
        <f>E77</f>
        <v>5350</v>
      </c>
      <c r="F138" s="115">
        <f>B106</f>
        <v>100000</v>
      </c>
      <c r="G138" s="18">
        <f>E106</f>
        <v>2040</v>
      </c>
      <c r="H138" s="94">
        <v>0.636</v>
      </c>
      <c r="I138" s="145">
        <v>0.611</v>
      </c>
      <c r="J138" s="137">
        <v>5848</v>
      </c>
      <c r="K138" s="96">
        <f t="shared" si="73"/>
        <v>3207.5471698113206</v>
      </c>
      <c r="L138" s="15">
        <f t="shared" si="74"/>
        <v>3338.7888707037646</v>
      </c>
      <c r="M138" s="149">
        <f t="shared" si="79"/>
        <v>7962.906976744186</v>
      </c>
      <c r="N138" s="107">
        <f t="shared" si="75"/>
        <v>0.0204</v>
      </c>
      <c r="O138" s="108">
        <f t="shared" si="76"/>
        <v>0.01508</v>
      </c>
      <c r="P138" s="108">
        <f t="shared" si="77"/>
        <v>0.0107</v>
      </c>
      <c r="Q138" s="109">
        <f t="shared" si="78"/>
        <v>0.0204</v>
      </c>
    </row>
    <row r="139" spans="1:17" ht="12.75">
      <c r="A139" s="12" t="s">
        <v>7</v>
      </c>
      <c r="B139" s="18" t="s">
        <v>64</v>
      </c>
      <c r="C139" s="95">
        <f>E20</f>
        <v>677</v>
      </c>
      <c r="D139" s="18">
        <f>E47</f>
        <v>1430</v>
      </c>
      <c r="E139" s="18">
        <f>E81</f>
        <v>2050</v>
      </c>
      <c r="F139" s="115">
        <f>B110</f>
        <v>100000</v>
      </c>
      <c r="G139" s="18">
        <f>E110</f>
        <v>677</v>
      </c>
      <c r="H139" s="94">
        <v>0.596</v>
      </c>
      <c r="I139" s="145">
        <v>0.546</v>
      </c>
      <c r="J139" s="137">
        <v>5200</v>
      </c>
      <c r="K139" s="96">
        <f t="shared" si="73"/>
        <v>1135.9060402684565</v>
      </c>
      <c r="L139" s="15">
        <f t="shared" si="74"/>
        <v>1239.9267399267399</v>
      </c>
      <c r="M139" s="149">
        <f t="shared" si="79"/>
        <v>2971.8998076923076</v>
      </c>
      <c r="N139" s="107">
        <f t="shared" si="75"/>
        <v>0.00677</v>
      </c>
      <c r="O139" s="108">
        <f t="shared" si="76"/>
        <v>0.00572</v>
      </c>
      <c r="P139" s="108">
        <f t="shared" si="77"/>
        <v>0.0041</v>
      </c>
      <c r="Q139" s="109">
        <f t="shared" si="78"/>
        <v>0.00677</v>
      </c>
    </row>
    <row r="140" spans="1:17" ht="12.75">
      <c r="A140" s="12" t="s">
        <v>3</v>
      </c>
      <c r="B140" s="18" t="s">
        <v>64</v>
      </c>
      <c r="C140" s="95">
        <f>E14</f>
        <v>806</v>
      </c>
      <c r="D140" s="18">
        <f>E41</f>
        <v>1595</v>
      </c>
      <c r="E140" s="18">
        <f>E75</f>
        <v>2875</v>
      </c>
      <c r="F140" s="95">
        <f>B104</f>
        <v>130862.5</v>
      </c>
      <c r="G140" s="18">
        <f>E104</f>
        <v>968.3367499999999</v>
      </c>
      <c r="H140" s="94">
        <v>1.041</v>
      </c>
      <c r="I140" s="145">
        <v>1.06</v>
      </c>
      <c r="J140" s="137">
        <v>31916</v>
      </c>
      <c r="K140" s="96">
        <f t="shared" si="73"/>
        <v>930.1986071085495</v>
      </c>
      <c r="L140" s="15">
        <f t="shared" si="74"/>
        <v>913.5252358490565</v>
      </c>
      <c r="M140" s="149">
        <f t="shared" si="79"/>
        <v>692.574977824602</v>
      </c>
      <c r="N140" s="107">
        <f t="shared" si="75"/>
        <v>0.00806</v>
      </c>
      <c r="O140" s="108">
        <f t="shared" si="76"/>
        <v>0.00638</v>
      </c>
      <c r="P140" s="108">
        <f t="shared" si="77"/>
        <v>0.00575</v>
      </c>
      <c r="Q140" s="109">
        <f t="shared" si="78"/>
        <v>0.007399650396408443</v>
      </c>
    </row>
    <row r="141" spans="1:17" ht="12.75">
      <c r="A141" s="12" t="s">
        <v>16</v>
      </c>
      <c r="B141" s="18" t="s">
        <v>64</v>
      </c>
      <c r="C141" s="95">
        <f>E24</f>
        <v>877.5</v>
      </c>
      <c r="D141" s="18">
        <f>E51</f>
        <v>1305</v>
      </c>
      <c r="E141" s="18">
        <f>E85</f>
        <v>1552.5</v>
      </c>
      <c r="F141" s="115">
        <f>B114</f>
        <v>100000</v>
      </c>
      <c r="G141" s="18">
        <f>E114</f>
        <v>877.5</v>
      </c>
      <c r="H141" s="94">
        <v>0.764</v>
      </c>
      <c r="I141" s="145">
        <v>0.731</v>
      </c>
      <c r="J141" s="137">
        <v>8901</v>
      </c>
      <c r="K141" s="96">
        <f t="shared" si="73"/>
        <v>1148.5602094240837</v>
      </c>
      <c r="L141" s="15">
        <f t="shared" si="74"/>
        <v>1200.4103967168262</v>
      </c>
      <c r="M141" s="149">
        <f t="shared" si="79"/>
        <v>2250.38675429727</v>
      </c>
      <c r="N141" s="107">
        <f t="shared" si="75"/>
        <v>0.008775</v>
      </c>
      <c r="O141" s="108">
        <f t="shared" si="76"/>
        <v>0.00522</v>
      </c>
      <c r="P141" s="108">
        <f t="shared" si="77"/>
        <v>0.003105</v>
      </c>
      <c r="Q141" s="109">
        <f t="shared" si="78"/>
        <v>0.008775</v>
      </c>
    </row>
    <row r="142" spans="1:17" ht="12.75">
      <c r="A142" s="12" t="s">
        <v>9</v>
      </c>
      <c r="B142" s="18" t="s">
        <v>64</v>
      </c>
      <c r="C142" s="95">
        <f>E25</f>
        <v>1068</v>
      </c>
      <c r="D142" s="18">
        <f>E52</f>
        <v>1422</v>
      </c>
      <c r="E142" s="18">
        <f>E86</f>
        <v>1622</v>
      </c>
      <c r="F142" s="95">
        <f>B115</f>
        <v>172630</v>
      </c>
      <c r="G142" s="18">
        <f>E115</f>
        <v>1239.4068</v>
      </c>
      <c r="H142" s="94">
        <v>0.9</v>
      </c>
      <c r="I142" s="145">
        <v>0.902</v>
      </c>
      <c r="J142" s="137">
        <v>18004</v>
      </c>
      <c r="K142" s="96">
        <f t="shared" si="73"/>
        <v>1377.1186666666665</v>
      </c>
      <c r="L142" s="15">
        <f t="shared" si="74"/>
        <v>1374.0651884700665</v>
      </c>
      <c r="M142" s="149">
        <f t="shared" si="79"/>
        <v>1571.4251846034215</v>
      </c>
      <c r="N142" s="107">
        <f t="shared" si="75"/>
        <v>0.01068</v>
      </c>
      <c r="O142" s="108">
        <f t="shared" si="76"/>
        <v>0.005688</v>
      </c>
      <c r="P142" s="108">
        <f t="shared" si="77"/>
        <v>0.003244</v>
      </c>
      <c r="Q142" s="109">
        <f t="shared" si="78"/>
        <v>0.007179556276429358</v>
      </c>
    </row>
    <row r="143" spans="1:17" ht="12.75">
      <c r="A143" s="14" t="s">
        <v>12</v>
      </c>
      <c r="B143" s="15" t="s">
        <v>64</v>
      </c>
      <c r="C143" s="96">
        <f>E7</f>
        <v>1400</v>
      </c>
      <c r="D143" s="15">
        <f>E34</f>
        <v>1900</v>
      </c>
      <c r="E143" s="15">
        <f>E68</f>
        <v>2900</v>
      </c>
      <c r="F143" s="115">
        <f>B97</f>
        <v>150000</v>
      </c>
      <c r="G143" s="15">
        <f>E97</f>
        <v>1566.6666666666667</v>
      </c>
      <c r="H143" s="94">
        <v>1.029</v>
      </c>
      <c r="I143" s="145">
        <v>1.037</v>
      </c>
      <c r="J143" s="137">
        <v>28009</v>
      </c>
      <c r="K143" s="96">
        <f t="shared" si="73"/>
        <v>1522.5137674117268</v>
      </c>
      <c r="L143" s="15">
        <f t="shared" si="74"/>
        <v>1510.768241722919</v>
      </c>
      <c r="M143" s="149">
        <f t="shared" si="79"/>
        <v>1276.8145953086507</v>
      </c>
      <c r="N143" s="107">
        <f t="shared" si="75"/>
        <v>0.014</v>
      </c>
      <c r="O143" s="108">
        <f t="shared" si="76"/>
        <v>0.0076</v>
      </c>
      <c r="P143" s="108">
        <f t="shared" si="77"/>
        <v>0.0058</v>
      </c>
      <c r="Q143" s="109">
        <f t="shared" si="78"/>
        <v>0.010444444444444445</v>
      </c>
    </row>
    <row r="144" spans="1:17" ht="12.75">
      <c r="A144" s="12" t="s">
        <v>2</v>
      </c>
      <c r="B144" s="18" t="s">
        <v>64</v>
      </c>
      <c r="C144" s="95">
        <f>E13</f>
        <v>1538.33</v>
      </c>
      <c r="D144" s="18">
        <f>E40</f>
        <v>3188</v>
      </c>
      <c r="E144" s="18">
        <f>E74</f>
        <v>5938</v>
      </c>
      <c r="F144" s="95">
        <f>B103</f>
        <v>226629.91335412173</v>
      </c>
      <c r="G144" s="18">
        <f>E103</f>
        <v>2930.98046108596</v>
      </c>
      <c r="H144" s="94">
        <v>1.085</v>
      </c>
      <c r="I144" s="145">
        <v>1.069</v>
      </c>
      <c r="J144" s="137">
        <v>25050</v>
      </c>
      <c r="K144" s="96">
        <f t="shared" si="73"/>
        <v>2701.3644802635577</v>
      </c>
      <c r="L144" s="15">
        <f t="shared" si="74"/>
        <v>2741.796502419046</v>
      </c>
      <c r="M144" s="149">
        <f t="shared" si="79"/>
        <v>2670.877883641086</v>
      </c>
      <c r="N144" s="107">
        <f t="shared" si="75"/>
        <v>0.015383299999999999</v>
      </c>
      <c r="O144" s="108">
        <f t="shared" si="76"/>
        <v>0.012752</v>
      </c>
      <c r="P144" s="108">
        <f t="shared" si="77"/>
        <v>0.011876</v>
      </c>
      <c r="Q144" s="109">
        <f t="shared" si="78"/>
        <v>0.012932893181255123</v>
      </c>
    </row>
    <row r="145" spans="1:17" ht="12.75">
      <c r="A145" s="14" t="s">
        <v>13</v>
      </c>
      <c r="B145" s="15" t="s">
        <v>64</v>
      </c>
      <c r="C145" s="96">
        <f>E8</f>
        <v>2155.04</v>
      </c>
      <c r="D145" s="15">
        <f>E35</f>
        <v>3352.04</v>
      </c>
      <c r="E145" s="15">
        <f>E69</f>
        <v>3609.2</v>
      </c>
      <c r="F145" s="95">
        <f>B98</f>
        <v>167000</v>
      </c>
      <c r="G145" s="15">
        <f>E98</f>
        <v>2689.7</v>
      </c>
      <c r="H145" s="94">
        <v>1.043</v>
      </c>
      <c r="I145" s="145">
        <v>1.033</v>
      </c>
      <c r="J145" s="137">
        <v>28324</v>
      </c>
      <c r="K145" s="96">
        <f t="shared" si="73"/>
        <v>2578.8111217641417</v>
      </c>
      <c r="L145" s="15">
        <f t="shared" si="74"/>
        <v>2603.7754114230397</v>
      </c>
      <c r="M145" s="149">
        <f t="shared" si="79"/>
        <v>2167.694601751165</v>
      </c>
      <c r="N145" s="107">
        <f t="shared" si="75"/>
        <v>0.0215504</v>
      </c>
      <c r="O145" s="108">
        <f t="shared" si="76"/>
        <v>0.01340816</v>
      </c>
      <c r="P145" s="108">
        <f t="shared" si="77"/>
        <v>0.0072184</v>
      </c>
      <c r="Q145" s="109">
        <f t="shared" si="78"/>
        <v>0.016105988023952095</v>
      </c>
    </row>
    <row r="146" spans="1:17" ht="12.75">
      <c r="A146" s="14" t="s">
        <v>189</v>
      </c>
      <c r="B146" s="15" t="s">
        <v>64</v>
      </c>
      <c r="C146" s="96">
        <f>E21</f>
        <v>536.5</v>
      </c>
      <c r="D146" s="15">
        <f>E48</f>
        <v>656.94</v>
      </c>
      <c r="E146" s="15">
        <f>E111</f>
        <v>536.5</v>
      </c>
      <c r="F146" s="115">
        <f>B111</f>
        <v>100000</v>
      </c>
      <c r="G146" s="15">
        <f>E99</f>
        <v>1000</v>
      </c>
      <c r="H146" s="94">
        <v>0.852</v>
      </c>
      <c r="I146" s="145">
        <v>0.713</v>
      </c>
      <c r="J146" s="137">
        <v>12086</v>
      </c>
      <c r="K146" s="96">
        <f t="shared" si="73"/>
        <v>1173.7089201877934</v>
      </c>
      <c r="L146" s="15">
        <f t="shared" si="74"/>
        <v>1402.5245441795232</v>
      </c>
      <c r="M146" s="149">
        <f t="shared" si="79"/>
        <v>1888.7142147939765</v>
      </c>
      <c r="N146" s="107">
        <f t="shared" si="75"/>
        <v>0.005365</v>
      </c>
      <c r="O146" s="108">
        <f t="shared" si="76"/>
        <v>0.0026277600000000003</v>
      </c>
      <c r="P146" s="108">
        <f t="shared" si="77"/>
        <v>0.001073</v>
      </c>
      <c r="Q146" s="109">
        <f t="shared" si="78"/>
        <v>0.01</v>
      </c>
    </row>
    <row r="147" spans="1:17" ht="12.75">
      <c r="A147" s="12" t="s">
        <v>5</v>
      </c>
      <c r="B147" s="18" t="s">
        <v>64</v>
      </c>
      <c r="C147" s="95">
        <f>E18</f>
        <v>2670</v>
      </c>
      <c r="D147" s="18">
        <f>E45</f>
        <v>3800</v>
      </c>
      <c r="E147" s="18">
        <f>E79</f>
        <v>5450</v>
      </c>
      <c r="F147" s="95">
        <f>B108</f>
        <v>129532</v>
      </c>
      <c r="G147" s="18">
        <f>E108</f>
        <v>2892.4744</v>
      </c>
      <c r="H147" s="94">
        <v>1.026</v>
      </c>
      <c r="I147" s="145">
        <v>1.006</v>
      </c>
      <c r="J147" s="137">
        <v>19636</v>
      </c>
      <c r="K147" s="96">
        <f t="shared" si="73"/>
        <v>2819.175828460039</v>
      </c>
      <c r="L147" s="15">
        <f t="shared" si="74"/>
        <v>2875.2230616302186</v>
      </c>
      <c r="M147" s="149">
        <f t="shared" si="79"/>
        <v>3362.5235856997356</v>
      </c>
      <c r="N147" s="107">
        <f t="shared" si="75"/>
        <v>0.0267</v>
      </c>
      <c r="O147" s="108">
        <f t="shared" si="76"/>
        <v>0.0152</v>
      </c>
      <c r="P147" s="108">
        <f t="shared" si="77"/>
        <v>0.0109</v>
      </c>
      <c r="Q147" s="109">
        <f t="shared" si="78"/>
        <v>0.022330191767285304</v>
      </c>
    </row>
    <row r="148" spans="1:17" ht="12.75">
      <c r="A148" s="12" t="s">
        <v>15</v>
      </c>
      <c r="B148" s="18" t="s">
        <v>65</v>
      </c>
      <c r="C148" s="95">
        <f>E15</f>
        <v>3340</v>
      </c>
      <c r="D148" s="18">
        <f>E42</f>
        <v>6640</v>
      </c>
      <c r="E148" s="18">
        <f>E76</f>
        <v>12140</v>
      </c>
      <c r="F148" s="115">
        <f>B105</f>
        <v>130000</v>
      </c>
      <c r="G148" s="18">
        <f>E105</f>
        <v>4000</v>
      </c>
      <c r="H148" s="94">
        <v>0.878</v>
      </c>
      <c r="I148" s="145">
        <v>0.849</v>
      </c>
      <c r="J148" s="137">
        <v>17140</v>
      </c>
      <c r="K148" s="96">
        <f t="shared" si="73"/>
        <v>4555.808656036446</v>
      </c>
      <c r="L148" s="15">
        <f t="shared" si="74"/>
        <v>4711.425206124853</v>
      </c>
      <c r="M148" s="149">
        <f t="shared" si="79"/>
        <v>5327.187864644107</v>
      </c>
      <c r="N148" s="107">
        <f t="shared" si="75"/>
        <v>0.0334</v>
      </c>
      <c r="O148" s="108">
        <f t="shared" si="76"/>
        <v>0.02656</v>
      </c>
      <c r="P148" s="108">
        <f t="shared" si="77"/>
        <v>0.02428</v>
      </c>
      <c r="Q148" s="109">
        <f t="shared" si="78"/>
        <v>0.03076923076923077</v>
      </c>
    </row>
    <row r="149" spans="1:17" ht="12.75">
      <c r="A149" s="12" t="s">
        <v>10</v>
      </c>
      <c r="B149" s="18" t="s">
        <v>66</v>
      </c>
      <c r="C149" s="95">
        <v>500</v>
      </c>
      <c r="D149" s="18">
        <v>500</v>
      </c>
      <c r="E149" s="18">
        <v>500</v>
      </c>
      <c r="F149" s="95">
        <f>B116</f>
        <v>147500</v>
      </c>
      <c r="G149" s="18">
        <f>C149</f>
        <v>500</v>
      </c>
      <c r="H149" s="94">
        <v>1.206</v>
      </c>
      <c r="I149" s="145">
        <v>1.187</v>
      </c>
      <c r="J149" s="137">
        <v>25479</v>
      </c>
      <c r="K149" s="96">
        <f t="shared" si="73"/>
        <v>414.5936981757877</v>
      </c>
      <c r="L149" s="15">
        <f t="shared" si="74"/>
        <v>421.22999157540016</v>
      </c>
      <c r="M149" s="149">
        <f t="shared" si="79"/>
        <v>447.9571411750854</v>
      </c>
      <c r="N149" s="107">
        <f t="shared" si="75"/>
        <v>0.005</v>
      </c>
      <c r="O149" s="108">
        <f t="shared" si="76"/>
        <v>0.002</v>
      </c>
      <c r="P149" s="108">
        <f t="shared" si="77"/>
        <v>0.001</v>
      </c>
      <c r="Q149" s="109">
        <f t="shared" si="78"/>
        <v>0.003389830508474576</v>
      </c>
    </row>
    <row r="150" spans="1:17" ht="12.75">
      <c r="A150" s="12" t="s">
        <v>1</v>
      </c>
      <c r="B150" s="18" t="s">
        <v>66</v>
      </c>
      <c r="C150" s="95">
        <f>500+353.2+77</f>
        <v>930.2</v>
      </c>
      <c r="D150" s="18">
        <f>500+353.2+77</f>
        <v>930.2</v>
      </c>
      <c r="E150" s="18">
        <f>500+353.2+77</f>
        <v>930.2</v>
      </c>
      <c r="F150" s="95">
        <f>B102</f>
        <v>123756</v>
      </c>
      <c r="G150" s="18">
        <f>C150</f>
        <v>930.2</v>
      </c>
      <c r="H150" s="94">
        <v>1.22</v>
      </c>
      <c r="I150" s="145">
        <v>1.128</v>
      </c>
      <c r="J150" s="137">
        <v>25006</v>
      </c>
      <c r="K150" s="96">
        <f t="shared" si="73"/>
        <v>762.4590163934427</v>
      </c>
      <c r="L150" s="15">
        <f t="shared" si="74"/>
        <v>824.6453900709221</v>
      </c>
      <c r="M150" s="149">
        <f t="shared" si="79"/>
        <v>849.1432216268097</v>
      </c>
      <c r="N150" s="107">
        <f t="shared" si="75"/>
        <v>0.009302000000000001</v>
      </c>
      <c r="O150" s="108">
        <f t="shared" si="76"/>
        <v>0.0037208000000000002</v>
      </c>
      <c r="P150" s="108">
        <f t="shared" si="77"/>
        <v>0.0018604000000000001</v>
      </c>
      <c r="Q150" s="109">
        <f t="shared" si="78"/>
        <v>0.007516403245095188</v>
      </c>
    </row>
    <row r="151" spans="1:17" ht="12.75">
      <c r="A151" s="20" t="s">
        <v>14</v>
      </c>
      <c r="B151" s="21" t="s">
        <v>66</v>
      </c>
      <c r="C151" s="129">
        <f>1013+500</f>
        <v>1513</v>
      </c>
      <c r="D151" s="21">
        <f>1013+500</f>
        <v>1513</v>
      </c>
      <c r="E151" s="134">
        <f>1013+500</f>
        <v>1513</v>
      </c>
      <c r="F151" s="95">
        <f>B100</f>
        <v>221742.5</v>
      </c>
      <c r="G151" s="18">
        <f>C151</f>
        <v>1513</v>
      </c>
      <c r="H151" s="94">
        <v>1.358</v>
      </c>
      <c r="I151" s="145">
        <v>1.321</v>
      </c>
      <c r="J151" s="138">
        <v>31202</v>
      </c>
      <c r="K151" s="96">
        <f t="shared" si="73"/>
        <v>1114.1384388807069</v>
      </c>
      <c r="L151" s="22">
        <f t="shared" si="74"/>
        <v>1145.344436033308</v>
      </c>
      <c r="M151" s="149">
        <f t="shared" si="79"/>
        <v>1106.8922184475355</v>
      </c>
      <c r="N151" s="107">
        <f t="shared" si="75"/>
        <v>0.01513</v>
      </c>
      <c r="O151" s="108">
        <f t="shared" si="76"/>
        <v>0.006052</v>
      </c>
      <c r="P151" s="108">
        <f t="shared" si="77"/>
        <v>0.003026</v>
      </c>
      <c r="Q151" s="109">
        <f t="shared" si="78"/>
        <v>0.006823229647000462</v>
      </c>
    </row>
    <row r="152" spans="1:17" ht="15.75">
      <c r="A152" s="42" t="s">
        <v>27</v>
      </c>
      <c r="B152" s="110"/>
      <c r="C152" s="111">
        <f>SUM(C132:C151)/C153</f>
        <v>1313.4285</v>
      </c>
      <c r="D152" s="110">
        <f>SUM(D132:D151)/C153</f>
        <v>1998.6089999999997</v>
      </c>
      <c r="E152" s="110">
        <f>SUM(E132:E151)/C153</f>
        <v>2934.9199999999996</v>
      </c>
      <c r="F152" s="111">
        <f>SUM(F132:F151)/C153</f>
        <v>159828.6456677061</v>
      </c>
      <c r="G152" s="110">
        <f>SUM(G132:G151)/C153</f>
        <v>1607.617180554298</v>
      </c>
      <c r="H152" s="142"/>
      <c r="I152" s="146"/>
      <c r="J152" s="168">
        <f>SUM(J132:J151)/C153</f>
        <v>21187.3</v>
      </c>
      <c r="K152" s="110">
        <f>SUM(K132:K151)/C153</f>
        <v>1706.7635891593004</v>
      </c>
      <c r="L152" s="110">
        <f>SUM(L132:L151)/C153</f>
        <v>1729.140201953557</v>
      </c>
      <c r="M152" s="110">
        <f>SUM(M132:M151)/C153</f>
        <v>2214.8799367888496</v>
      </c>
      <c r="N152" s="52">
        <f>SUM(N132:N151)/C153</f>
        <v>0.013134285</v>
      </c>
      <c r="O152" s="53">
        <f>SUM(O132:O151)/C153</f>
        <v>0.007994436</v>
      </c>
      <c r="P152" s="53">
        <f>SUM(P132:P151)/C153</f>
        <v>0.005869839999999999</v>
      </c>
      <c r="Q152" s="54">
        <f>SUM(Q132:Q151)/C153</f>
        <v>0.010658653399467463</v>
      </c>
    </row>
    <row r="153" spans="1:17" ht="15.75">
      <c r="A153" s="160"/>
      <c r="B153" s="166" t="s">
        <v>198</v>
      </c>
      <c r="C153" s="167">
        <v>20</v>
      </c>
      <c r="D153" s="17"/>
      <c r="E153" s="17"/>
      <c r="F153" s="17"/>
      <c r="G153" s="17"/>
      <c r="H153" s="123"/>
      <c r="I153" s="123"/>
      <c r="K153" s="123"/>
      <c r="L153" s="123"/>
      <c r="N153" s="32"/>
      <c r="O153" s="32"/>
      <c r="P153" s="32"/>
      <c r="Q153" s="32"/>
    </row>
    <row r="154" spans="1:17" ht="15.75">
      <c r="A154" s="29"/>
      <c r="B154" s="17"/>
      <c r="C154" s="17"/>
      <c r="D154" s="17"/>
      <c r="E154" s="17"/>
      <c r="F154" s="17"/>
      <c r="G154" s="17"/>
      <c r="H154" s="123"/>
      <c r="I154" s="123"/>
      <c r="J154" s="91"/>
      <c r="K154" s="123"/>
      <c r="L154" s="123"/>
      <c r="N154" s="32"/>
      <c r="O154" s="32"/>
      <c r="P154" s="32"/>
      <c r="Q154" s="32"/>
    </row>
    <row r="155" ht="12.75">
      <c r="I155" s="2"/>
    </row>
    <row r="156" spans="1:9" ht="12.75">
      <c r="A156" s="121"/>
      <c r="B156" s="121" t="s">
        <v>104</v>
      </c>
      <c r="I156" s="2"/>
    </row>
    <row r="157" spans="1:17" ht="12.75">
      <c r="A157" s="7"/>
      <c r="B157" s="8"/>
      <c r="C157" s="128"/>
      <c r="D157" s="30" t="s">
        <v>106</v>
      </c>
      <c r="E157" s="8"/>
      <c r="F157" s="154" t="s">
        <v>58</v>
      </c>
      <c r="G157" s="97" t="s">
        <v>67</v>
      </c>
      <c r="H157" s="40" t="s">
        <v>68</v>
      </c>
      <c r="I157" s="30" t="s">
        <v>69</v>
      </c>
      <c r="J157" s="99" t="s">
        <v>111</v>
      </c>
      <c r="K157" s="116" t="s">
        <v>58</v>
      </c>
      <c r="L157" s="98"/>
      <c r="M157" s="11"/>
      <c r="N157" s="40"/>
      <c r="O157" s="30" t="s">
        <v>70</v>
      </c>
      <c r="P157" s="30"/>
      <c r="Q157" s="99"/>
    </row>
    <row r="158" spans="1:17" ht="12.75">
      <c r="A158" s="12"/>
      <c r="B158" s="4" t="s">
        <v>105</v>
      </c>
      <c r="C158" s="103">
        <v>100000</v>
      </c>
      <c r="D158" s="100">
        <v>250000</v>
      </c>
      <c r="E158" s="100">
        <v>500000</v>
      </c>
      <c r="F158" s="155" t="s">
        <v>71</v>
      </c>
      <c r="G158" s="101" t="s">
        <v>72</v>
      </c>
      <c r="H158" s="102" t="s">
        <v>73</v>
      </c>
      <c r="I158" s="135" t="s">
        <v>93</v>
      </c>
      <c r="J158" s="153" t="s">
        <v>112</v>
      </c>
      <c r="K158" s="117" t="s">
        <v>94</v>
      </c>
      <c r="L158" s="63" t="s">
        <v>95</v>
      </c>
      <c r="M158" s="39" t="s">
        <v>111</v>
      </c>
      <c r="N158" s="103">
        <v>100000</v>
      </c>
      <c r="O158" s="100">
        <v>250000</v>
      </c>
      <c r="P158" s="100">
        <v>500000</v>
      </c>
      <c r="Q158" s="113" t="s">
        <v>27</v>
      </c>
    </row>
    <row r="159" spans="1:17" ht="12.75">
      <c r="A159" s="56"/>
      <c r="B159" s="58"/>
      <c r="C159" s="57"/>
      <c r="D159" s="104"/>
      <c r="E159" s="58"/>
      <c r="F159" s="118" t="s">
        <v>74</v>
      </c>
      <c r="G159" s="58"/>
      <c r="H159" s="57">
        <v>2005</v>
      </c>
      <c r="I159" s="58"/>
      <c r="J159" s="140" t="s">
        <v>113</v>
      </c>
      <c r="K159" s="118" t="s">
        <v>73</v>
      </c>
      <c r="L159" s="119" t="s">
        <v>96</v>
      </c>
      <c r="M159" s="140" t="s">
        <v>112</v>
      </c>
      <c r="N159" s="57"/>
      <c r="O159" s="58"/>
      <c r="P159" s="58"/>
      <c r="Q159" s="114" t="s">
        <v>94</v>
      </c>
    </row>
    <row r="160" spans="1:17" ht="12.75">
      <c r="A160" s="130" t="s">
        <v>98</v>
      </c>
      <c r="B160" s="120" t="s">
        <v>97</v>
      </c>
      <c r="C160" s="95">
        <f aca="true" t="shared" si="80" ref="C160:Q160">SUM(C149:C151)/3</f>
        <v>981.0666666666666</v>
      </c>
      <c r="D160" s="122">
        <f t="shared" si="80"/>
        <v>981.0666666666666</v>
      </c>
      <c r="E160" s="122">
        <f t="shared" si="80"/>
        <v>981.0666666666666</v>
      </c>
      <c r="F160" s="95">
        <f t="shared" si="80"/>
        <v>164332.83333333334</v>
      </c>
      <c r="G160" s="122">
        <f t="shared" si="80"/>
        <v>981.0666666666666</v>
      </c>
      <c r="H160" s="143">
        <f t="shared" si="80"/>
        <v>1.2613333333333334</v>
      </c>
      <c r="I160" s="147">
        <f t="shared" si="80"/>
        <v>1.212</v>
      </c>
      <c r="J160" s="141">
        <f t="shared" si="80"/>
        <v>27229</v>
      </c>
      <c r="K160" s="88">
        <f t="shared" si="80"/>
        <v>763.7303844833124</v>
      </c>
      <c r="L160" s="88">
        <f t="shared" si="80"/>
        <v>797.0732725598767</v>
      </c>
      <c r="M160" s="150">
        <f t="shared" si="80"/>
        <v>801.3308604164768</v>
      </c>
      <c r="N160" s="25">
        <f t="shared" si="80"/>
        <v>0.009810666666666667</v>
      </c>
      <c r="O160" s="25">
        <f t="shared" si="80"/>
        <v>0.003924266666666666</v>
      </c>
      <c r="P160" s="25">
        <f t="shared" si="80"/>
        <v>0.001962133333333333</v>
      </c>
      <c r="Q160" s="156">
        <f t="shared" si="80"/>
        <v>0.005909821133523408</v>
      </c>
    </row>
    <row r="161" spans="1:17" ht="12.75">
      <c r="A161" s="131" t="s">
        <v>99</v>
      </c>
      <c r="B161" s="120" t="s">
        <v>102</v>
      </c>
      <c r="C161" s="95">
        <f>SUM(C133:C137)/5</f>
        <v>998.4</v>
      </c>
      <c r="D161" s="18">
        <f aca="true" t="shared" si="81" ref="D161:Q161">SUM(D133:D137)/5</f>
        <v>1324</v>
      </c>
      <c r="E161" s="149">
        <f t="shared" si="81"/>
        <v>1928.4</v>
      </c>
      <c r="F161" s="95">
        <f t="shared" si="81"/>
        <v>198984</v>
      </c>
      <c r="G161" s="18">
        <f t="shared" si="81"/>
        <v>1403.4157066666667</v>
      </c>
      <c r="H161" s="26">
        <f t="shared" si="81"/>
        <v>0.8972</v>
      </c>
      <c r="I161" s="27">
        <f t="shared" si="81"/>
        <v>0.9336</v>
      </c>
      <c r="J161" s="18">
        <f t="shared" si="81"/>
        <v>22478.2</v>
      </c>
      <c r="K161" s="95">
        <f t="shared" si="81"/>
        <v>1489.6240028088628</v>
      </c>
      <c r="L161" s="95">
        <f t="shared" si="81"/>
        <v>1409.6303629413317</v>
      </c>
      <c r="M161" s="95">
        <f t="shared" si="81"/>
        <v>1747.7556591747605</v>
      </c>
      <c r="N161" s="26">
        <f t="shared" si="81"/>
        <v>0.009984000000000002</v>
      </c>
      <c r="O161" s="27">
        <f t="shared" si="81"/>
        <v>0.005296</v>
      </c>
      <c r="P161" s="27">
        <f t="shared" si="81"/>
        <v>0.0038568000000000005</v>
      </c>
      <c r="Q161" s="28">
        <f t="shared" si="81"/>
        <v>0.007170300242984391</v>
      </c>
    </row>
    <row r="162" spans="1:17" ht="12.75">
      <c r="A162" s="131" t="s">
        <v>100</v>
      </c>
      <c r="B162" s="120" t="s">
        <v>6</v>
      </c>
      <c r="C162" s="95">
        <f aca="true" t="shared" si="82" ref="C162:Q162">C132</f>
        <v>1225</v>
      </c>
      <c r="D162" s="122">
        <f t="shared" si="82"/>
        <v>1350</v>
      </c>
      <c r="E162" s="122">
        <f t="shared" si="82"/>
        <v>2090</v>
      </c>
      <c r="F162" s="95">
        <f t="shared" si="82"/>
        <v>202000</v>
      </c>
      <c r="G162" s="122">
        <f t="shared" si="82"/>
        <v>1310</v>
      </c>
      <c r="H162" s="26">
        <f t="shared" si="82"/>
        <v>1.052</v>
      </c>
      <c r="I162" s="27">
        <f t="shared" si="82"/>
        <v>1.064</v>
      </c>
      <c r="J162" s="18">
        <f t="shared" si="82"/>
        <v>29554</v>
      </c>
      <c r="K162" s="89">
        <f t="shared" si="82"/>
        <v>1245.2471482889732</v>
      </c>
      <c r="L162" s="89">
        <f t="shared" si="82"/>
        <v>1231.203007518797</v>
      </c>
      <c r="M162" s="149">
        <f t="shared" si="82"/>
        <v>1011.8214116532449</v>
      </c>
      <c r="N162" s="25">
        <f t="shared" si="82"/>
        <v>0.01225</v>
      </c>
      <c r="O162" s="25">
        <f t="shared" si="82"/>
        <v>0.0054</v>
      </c>
      <c r="P162" s="25">
        <f t="shared" si="82"/>
        <v>0.00418</v>
      </c>
      <c r="Q162" s="28">
        <f t="shared" si="82"/>
        <v>0.006485148514851485</v>
      </c>
    </row>
    <row r="163" spans="1:17" ht="12.75">
      <c r="A163" s="132" t="s">
        <v>101</v>
      </c>
      <c r="B163" s="120" t="s">
        <v>103</v>
      </c>
      <c r="C163" s="95">
        <f aca="true" t="shared" si="83" ref="C163:Q163">SUM(C139:C147)/9</f>
        <v>1303.152222222222</v>
      </c>
      <c r="D163" s="122">
        <f t="shared" si="83"/>
        <v>2072.1088888888894</v>
      </c>
      <c r="E163" s="122">
        <f t="shared" si="83"/>
        <v>2948.133333333333</v>
      </c>
      <c r="F163" s="95">
        <f t="shared" si="83"/>
        <v>141850.4903726802</v>
      </c>
      <c r="G163" s="122">
        <f t="shared" si="83"/>
        <v>1649.1183419725141</v>
      </c>
      <c r="H163" s="144">
        <f t="shared" si="83"/>
        <v>0.9262222222222223</v>
      </c>
      <c r="I163" s="148">
        <f t="shared" si="83"/>
        <v>0.8996666666666666</v>
      </c>
      <c r="J163" s="21">
        <f t="shared" si="83"/>
        <v>19680.666666666668</v>
      </c>
      <c r="K163" s="127">
        <f t="shared" si="83"/>
        <v>1709.706404617224</v>
      </c>
      <c r="L163" s="127">
        <f t="shared" si="83"/>
        <v>1762.4461469263815</v>
      </c>
      <c r="M163" s="134">
        <f t="shared" si="83"/>
        <v>2094.767956179135</v>
      </c>
      <c r="N163" s="25">
        <f t="shared" si="83"/>
        <v>0.013031522222222222</v>
      </c>
      <c r="O163" s="25">
        <f t="shared" si="83"/>
        <v>0.008288435555555555</v>
      </c>
      <c r="P163" s="25">
        <f t="shared" si="83"/>
        <v>0.005896266666666667</v>
      </c>
      <c r="Q163" s="157">
        <f t="shared" si="83"/>
        <v>0.011326413787752752</v>
      </c>
    </row>
    <row r="164" spans="1:17" ht="15.75">
      <c r="A164" s="124"/>
      <c r="B164" s="125" t="s">
        <v>107</v>
      </c>
      <c r="C164" s="111">
        <f>C152</f>
        <v>1313.4285</v>
      </c>
      <c r="D164" s="110">
        <f>D152</f>
        <v>1998.6089999999997</v>
      </c>
      <c r="E164" s="110">
        <f>E152</f>
        <v>2934.9199999999996</v>
      </c>
      <c r="F164" s="111">
        <f>F152</f>
        <v>159828.6456677061</v>
      </c>
      <c r="G164" s="110">
        <f>G152</f>
        <v>1607.617180554298</v>
      </c>
      <c r="H164" s="142"/>
      <c r="I164" s="146"/>
      <c r="J164" s="41"/>
      <c r="K164" s="126">
        <f aca="true" t="shared" si="84" ref="K164:Q164">K152</f>
        <v>1706.7635891593004</v>
      </c>
      <c r="L164" s="126">
        <f t="shared" si="84"/>
        <v>1729.140201953557</v>
      </c>
      <c r="M164" s="151">
        <f t="shared" si="84"/>
        <v>2214.8799367888496</v>
      </c>
      <c r="N164" s="52">
        <f t="shared" si="84"/>
        <v>0.013134285</v>
      </c>
      <c r="O164" s="53">
        <f t="shared" si="84"/>
        <v>0.007994436</v>
      </c>
      <c r="P164" s="53">
        <f t="shared" si="84"/>
        <v>0.005869839999999999</v>
      </c>
      <c r="Q164" s="54">
        <f t="shared" si="84"/>
        <v>0.010658653399467463</v>
      </c>
    </row>
    <row r="165" ht="12.75">
      <c r="A165" s="73"/>
    </row>
    <row r="166" ht="12.75">
      <c r="A166" s="73"/>
    </row>
    <row r="169" spans="1:2" ht="12.75">
      <c r="A169" t="s">
        <v>75</v>
      </c>
      <c r="B169" s="91" t="s">
        <v>60</v>
      </c>
    </row>
    <row r="170" ht="12.75">
      <c r="A170" t="s">
        <v>76</v>
      </c>
    </row>
    <row r="171" ht="12.75">
      <c r="B171" t="s">
        <v>115</v>
      </c>
    </row>
    <row r="172" spans="1:2" ht="12.75">
      <c r="A172" t="s">
        <v>114</v>
      </c>
      <c r="B172" t="s">
        <v>77</v>
      </c>
    </row>
    <row r="173" ht="12.75">
      <c r="B173" t="s">
        <v>78</v>
      </c>
    </row>
    <row r="174" ht="12.75">
      <c r="A174" t="s">
        <v>152</v>
      </c>
    </row>
    <row r="175" spans="1:2" ht="12.75">
      <c r="A175" t="s">
        <v>79</v>
      </c>
      <c r="B175" t="s">
        <v>200</v>
      </c>
    </row>
    <row r="177" spans="1:2" ht="12.75">
      <c r="A177" t="s">
        <v>80</v>
      </c>
      <c r="B177" t="s">
        <v>81</v>
      </c>
    </row>
    <row r="178" ht="12.75">
      <c r="B178" t="s">
        <v>82</v>
      </c>
    </row>
    <row r="179" ht="12.75">
      <c r="B179" t="s">
        <v>83</v>
      </c>
    </row>
    <row r="180" ht="12.75">
      <c r="B180" t="s">
        <v>84</v>
      </c>
    </row>
    <row r="181" ht="12.75">
      <c r="B181" s="79" t="s">
        <v>195</v>
      </c>
    </row>
    <row r="182" spans="1:2" ht="12.75">
      <c r="A182" t="s">
        <v>85</v>
      </c>
      <c r="B182" s="112" t="s">
        <v>86</v>
      </c>
    </row>
    <row r="183" spans="2:3" ht="15.75">
      <c r="B183" s="112" t="s">
        <v>87</v>
      </c>
      <c r="C183" s="112" t="s">
        <v>88</v>
      </c>
    </row>
    <row r="184" ht="12.75">
      <c r="B184" s="112" t="s">
        <v>89</v>
      </c>
    </row>
    <row r="185" spans="1:2" ht="12.75">
      <c r="A185" t="s">
        <v>153</v>
      </c>
      <c r="B185" s="112" t="s">
        <v>90</v>
      </c>
    </row>
    <row r="186" spans="1:2" ht="12.75">
      <c r="A186" t="s">
        <v>183</v>
      </c>
      <c r="B186" s="112"/>
    </row>
    <row r="187" ht="12.75">
      <c r="B187" s="73" t="s">
        <v>184</v>
      </c>
    </row>
    <row r="188" spans="1:2" ht="12.75">
      <c r="A188" t="s">
        <v>116</v>
      </c>
      <c r="B188" s="164" t="s">
        <v>187</v>
      </c>
    </row>
    <row r="189" ht="12.75">
      <c r="B189" s="112" t="s">
        <v>186</v>
      </c>
    </row>
    <row r="190" spans="1:2" ht="12.75">
      <c r="A190" t="s">
        <v>91</v>
      </c>
      <c r="B190" s="112" t="s">
        <v>117</v>
      </c>
    </row>
    <row r="191" ht="15.75">
      <c r="B191" s="112" t="s">
        <v>92</v>
      </c>
    </row>
    <row r="192" ht="12.75">
      <c r="A192" t="s">
        <v>108</v>
      </c>
    </row>
  </sheetData>
  <printOptions/>
  <pageMargins left="0.3937007874015748" right="0.1968503937007874" top="0.7086614173228347" bottom="0.5905511811023623" header="0.3937007874015748" footer="0.31496062992125984"/>
  <pageSetup horizontalDpi="600" verticalDpi="600" orientation="landscape" paperSize="9" scale="53" r:id="rId1"/>
  <rowBreaks count="2" manualBreakCount="2">
    <brk id="64" max="25" man="1"/>
    <brk id="122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D193"/>
  <sheetViews>
    <sheetView zoomScale="40" zoomScaleNormal="40" workbookViewId="0" topLeftCell="A1">
      <selection activeCell="T100" sqref="T100"/>
    </sheetView>
  </sheetViews>
  <sheetFormatPr defaultColWidth="9.140625" defaultRowHeight="12.75"/>
  <cols>
    <col min="1" max="1" width="11.57421875" style="0" customWidth="1"/>
    <col min="2" max="2" width="18.7109375" style="0" customWidth="1"/>
    <col min="3" max="10" width="11.7109375" style="0" customWidth="1"/>
    <col min="11" max="12" width="9.7109375" style="0" customWidth="1"/>
    <col min="13" max="13" width="8.7109375" style="0" customWidth="1"/>
    <col min="14" max="17" width="9.7109375" style="0" customWidth="1"/>
    <col min="18" max="18" width="8.7109375" style="0" customWidth="1"/>
    <col min="19" max="20" width="9.7109375" style="0" customWidth="1"/>
    <col min="21" max="21" width="8.7109375" style="0" customWidth="1"/>
    <col min="22" max="22" width="9.7109375" style="0" customWidth="1"/>
    <col min="23" max="25" width="8.7109375" style="0" customWidth="1"/>
    <col min="26" max="26" width="2.7109375" style="0" customWidth="1"/>
    <col min="27" max="16384" width="11.57421875" style="0" customWidth="1"/>
  </cols>
  <sheetData>
    <row r="1" ht="12.75">
      <c r="D1" s="6" t="s">
        <v>122</v>
      </c>
    </row>
    <row r="2" ht="12.75">
      <c r="D2" t="s">
        <v>199</v>
      </c>
    </row>
    <row r="3" ht="12.75">
      <c r="D3" s="1"/>
    </row>
    <row r="4" spans="2:26" ht="12.75">
      <c r="B4" s="7"/>
      <c r="C4" s="8"/>
      <c r="D4" s="9">
        <v>100000</v>
      </c>
      <c r="E4" s="10" t="s">
        <v>123</v>
      </c>
      <c r="F4" s="8"/>
      <c r="G4" s="8"/>
      <c r="H4" s="7"/>
      <c r="I4" s="8"/>
      <c r="J4" s="8"/>
      <c r="K4" s="11"/>
      <c r="M4" s="34"/>
      <c r="N4" s="40" t="s">
        <v>28</v>
      </c>
      <c r="O4" s="30"/>
      <c r="P4" s="11"/>
      <c r="Q4" s="7"/>
      <c r="R4" s="30" t="s">
        <v>21</v>
      </c>
      <c r="S4" s="11"/>
      <c r="T4" s="7"/>
      <c r="U4" s="30" t="s">
        <v>24</v>
      </c>
      <c r="V4" s="11"/>
      <c r="W4" s="7"/>
      <c r="X4" s="30" t="s">
        <v>39</v>
      </c>
      <c r="Y4" s="11"/>
      <c r="Z4" s="2"/>
    </row>
    <row r="5" spans="2:26" ht="12.75">
      <c r="B5" s="12"/>
      <c r="C5" s="2"/>
      <c r="D5" s="2"/>
      <c r="E5" s="2"/>
      <c r="F5" s="2"/>
      <c r="G5" s="2"/>
      <c r="H5" s="159"/>
      <c r="I5" s="158" t="s">
        <v>124</v>
      </c>
      <c r="J5" s="158"/>
      <c r="K5" s="13"/>
      <c r="M5" s="37"/>
      <c r="N5" s="38" t="s">
        <v>29</v>
      </c>
      <c r="O5" s="38"/>
      <c r="P5" s="39"/>
      <c r="Q5" s="12"/>
      <c r="R5" s="38" t="s">
        <v>29</v>
      </c>
      <c r="S5" s="13"/>
      <c r="T5" s="12"/>
      <c r="U5" s="38" t="s">
        <v>29</v>
      </c>
      <c r="V5" s="13"/>
      <c r="W5" s="12"/>
      <c r="X5" s="38" t="s">
        <v>29</v>
      </c>
      <c r="Y5" s="13"/>
      <c r="Z5" s="2"/>
    </row>
    <row r="6" spans="2:26" ht="12.75">
      <c r="B6" s="56" t="s">
        <v>11</v>
      </c>
      <c r="C6" s="58" t="s">
        <v>40</v>
      </c>
      <c r="D6" s="58" t="s">
        <v>32</v>
      </c>
      <c r="E6" s="58" t="s">
        <v>46</v>
      </c>
      <c r="F6" s="58" t="s">
        <v>33</v>
      </c>
      <c r="G6" s="58" t="s">
        <v>17</v>
      </c>
      <c r="H6" s="57" t="s">
        <v>125</v>
      </c>
      <c r="I6" s="58" t="s">
        <v>36</v>
      </c>
      <c r="J6" s="58" t="s">
        <v>42</v>
      </c>
      <c r="K6" s="59" t="s">
        <v>18</v>
      </c>
      <c r="L6" s="23"/>
      <c r="M6" s="57" t="s">
        <v>37</v>
      </c>
      <c r="N6" s="58" t="s">
        <v>22</v>
      </c>
      <c r="O6" s="58" t="s">
        <v>23</v>
      </c>
      <c r="P6" s="60" t="s">
        <v>38</v>
      </c>
      <c r="Q6" s="61" t="s">
        <v>22</v>
      </c>
      <c r="R6" s="62" t="s">
        <v>23</v>
      </c>
      <c r="S6" s="60" t="s">
        <v>38</v>
      </c>
      <c r="T6" s="61" t="s">
        <v>25</v>
      </c>
      <c r="U6" s="62" t="s">
        <v>26</v>
      </c>
      <c r="V6" s="60" t="s">
        <v>47</v>
      </c>
      <c r="W6" s="61" t="s">
        <v>25</v>
      </c>
      <c r="X6" s="62" t="s">
        <v>26</v>
      </c>
      <c r="Y6" s="60" t="s">
        <v>47</v>
      </c>
      <c r="Z6" s="24"/>
    </row>
    <row r="7" spans="2:26" ht="12.75">
      <c r="B7" s="14" t="s">
        <v>12</v>
      </c>
      <c r="C7" s="15">
        <f>'100% mortgage'!C7-'no mortgage'!C7</f>
        <v>0</v>
      </c>
      <c r="D7" s="16" t="s">
        <v>43</v>
      </c>
      <c r="E7" s="15">
        <f>'100% mortgage'!E7-'no mortgage'!E7</f>
        <v>0</v>
      </c>
      <c r="F7" s="15">
        <f>'100% mortgage'!F7-'no mortgage'!F7</f>
        <v>1200</v>
      </c>
      <c r="G7" s="15">
        <f>'100% mortgage'!G7-'no mortgage'!G7</f>
        <v>0</v>
      </c>
      <c r="H7" s="80">
        <f aca="true" t="shared" si="0" ref="H7:H26">SUM(C7:G7)</f>
        <v>1200</v>
      </c>
      <c r="I7" s="15">
        <f aca="true" t="shared" si="1" ref="I7:I26">SUM(C7:F7)</f>
        <v>1200</v>
      </c>
      <c r="J7" s="15">
        <f aca="true" t="shared" si="2" ref="J7:J26">SUM(C7:E7)</f>
        <v>0</v>
      </c>
      <c r="K7" s="83">
        <v>0.2</v>
      </c>
      <c r="L7" s="4"/>
      <c r="M7" s="35">
        <f aca="true" t="shared" si="3" ref="M7:M26">H7/100000</f>
        <v>0.012</v>
      </c>
      <c r="N7" s="33">
        <f aca="true" t="shared" si="4" ref="N7:N26">G7/100000</f>
        <v>0</v>
      </c>
      <c r="O7" s="33">
        <f aca="true" t="shared" si="5" ref="O7:O26">F7/100000</f>
        <v>0.012</v>
      </c>
      <c r="P7" s="36">
        <f aca="true" t="shared" si="6" ref="P7:P26">J7/100000</f>
        <v>0</v>
      </c>
      <c r="Q7" s="26">
        <f aca="true" t="shared" si="7" ref="Q7:Q26">G7/H7</f>
        <v>0</v>
      </c>
      <c r="R7" s="27">
        <f aca="true" t="shared" si="8" ref="R7:R26">F7/H7</f>
        <v>1</v>
      </c>
      <c r="S7" s="28">
        <f aca="true" t="shared" si="9" ref="S7:S26">J7/H7</f>
        <v>0</v>
      </c>
      <c r="T7" s="26"/>
      <c r="U7" s="27"/>
      <c r="V7" s="28"/>
      <c r="W7" s="26">
        <f aca="true" t="shared" si="10" ref="W7:W26">C7/100000</f>
        <v>0</v>
      </c>
      <c r="X7" s="27"/>
      <c r="Y7" s="28">
        <f aca="true" t="shared" si="11" ref="Y7:Y26">E7/100000</f>
        <v>0</v>
      </c>
      <c r="Z7" s="27"/>
    </row>
    <row r="8" spans="2:26" ht="15.75">
      <c r="B8" s="14" t="s">
        <v>13</v>
      </c>
      <c r="C8" s="15">
        <f>'100% mortgage'!C8-'no mortgage'!C8</f>
        <v>0</v>
      </c>
      <c r="D8" s="16" t="s">
        <v>43</v>
      </c>
      <c r="E8" s="15">
        <f>'100% mortgage'!E8-'no mortgage'!E8</f>
        <v>561.04</v>
      </c>
      <c r="F8" s="15">
        <f>'100% mortgage'!F8-'no mortgage'!F8</f>
        <v>250</v>
      </c>
      <c r="G8" s="15">
        <f>'100% mortgage'!G8-'no mortgage'!G8</f>
        <v>1100</v>
      </c>
      <c r="H8" s="81">
        <f t="shared" si="0"/>
        <v>1911.04</v>
      </c>
      <c r="I8" s="15">
        <f t="shared" si="1"/>
        <v>811.04</v>
      </c>
      <c r="J8" s="15">
        <f t="shared" si="2"/>
        <v>561.04</v>
      </c>
      <c r="K8" s="84">
        <v>0.21</v>
      </c>
      <c r="L8" s="5"/>
      <c r="M8" s="35">
        <f t="shared" si="3"/>
        <v>0.0191104</v>
      </c>
      <c r="N8" s="33">
        <f t="shared" si="4"/>
        <v>0.011</v>
      </c>
      <c r="O8" s="33">
        <f t="shared" si="5"/>
        <v>0.0025</v>
      </c>
      <c r="P8" s="36">
        <f t="shared" si="6"/>
        <v>0.0056104</v>
      </c>
      <c r="Q8" s="26">
        <f t="shared" si="7"/>
        <v>0.5756028131279304</v>
      </c>
      <c r="R8" s="27">
        <f t="shared" si="8"/>
        <v>0.13081882116543872</v>
      </c>
      <c r="S8" s="28">
        <f t="shared" si="9"/>
        <v>0.29357836570663093</v>
      </c>
      <c r="T8" s="26">
        <f aca="true" t="shared" si="12" ref="T8:T25">C8/J8</f>
        <v>0</v>
      </c>
      <c r="U8" s="27"/>
      <c r="V8" s="28">
        <f aca="true" t="shared" si="13" ref="V8:V25">E8/J8</f>
        <v>1</v>
      </c>
      <c r="W8" s="26">
        <f t="shared" si="10"/>
        <v>0</v>
      </c>
      <c r="X8" s="27"/>
      <c r="Y8" s="28">
        <f t="shared" si="11"/>
        <v>0.0056104</v>
      </c>
      <c r="Z8" s="27"/>
    </row>
    <row r="9" spans="2:26" ht="15.75">
      <c r="B9" s="14" t="s">
        <v>154</v>
      </c>
      <c r="C9" s="15">
        <f>'100% mortgage'!C9-'no mortgage'!C9</f>
        <v>0</v>
      </c>
      <c r="D9" s="15">
        <f>'100% mortgage'!D9-'no mortgage'!D9</f>
        <v>0</v>
      </c>
      <c r="E9" s="15">
        <f>'100% mortgage'!E9-'no mortgage'!E9</f>
        <v>500</v>
      </c>
      <c r="F9" s="15">
        <f>'100% mortgage'!F9-'no mortgage'!F9</f>
        <v>0</v>
      </c>
      <c r="G9" s="15">
        <f>'100% mortgage'!G9-'no mortgage'!G9</f>
        <v>0</v>
      </c>
      <c r="H9" s="81">
        <f t="shared" si="0"/>
        <v>500</v>
      </c>
      <c r="I9" s="15">
        <f t="shared" si="1"/>
        <v>500</v>
      </c>
      <c r="J9" s="15">
        <f t="shared" si="2"/>
        <v>500</v>
      </c>
      <c r="K9" s="84">
        <v>0.19</v>
      </c>
      <c r="L9" s="5"/>
      <c r="M9" s="35">
        <f t="shared" si="3"/>
        <v>0.005</v>
      </c>
      <c r="N9" s="33">
        <f t="shared" si="4"/>
        <v>0</v>
      </c>
      <c r="O9" s="33">
        <f t="shared" si="5"/>
        <v>0</v>
      </c>
      <c r="P9" s="36">
        <f t="shared" si="6"/>
        <v>0.005</v>
      </c>
      <c r="Q9" s="26"/>
      <c r="R9" s="27"/>
      <c r="S9" s="28"/>
      <c r="T9" s="26"/>
      <c r="U9" s="27"/>
      <c r="V9" s="28"/>
      <c r="W9" s="74">
        <f t="shared" si="10"/>
        <v>0</v>
      </c>
      <c r="X9" s="27">
        <f>D9/100000</f>
        <v>0</v>
      </c>
      <c r="Y9" s="75">
        <f t="shared" si="11"/>
        <v>0.005</v>
      </c>
      <c r="Z9" s="27"/>
    </row>
    <row r="10" spans="2:26" ht="15.75">
      <c r="B10" s="12" t="s">
        <v>14</v>
      </c>
      <c r="C10" s="15">
        <f>'100% mortgage'!C10-'no mortgage'!C10</f>
        <v>0</v>
      </c>
      <c r="D10" s="15">
        <f>'100% mortgage'!D10-'no mortgage'!D10</f>
        <v>0</v>
      </c>
      <c r="E10" s="15">
        <f>'100% mortgage'!E10-'no mortgage'!E10</f>
        <v>0</v>
      </c>
      <c r="F10" s="15">
        <f>'100% mortgage'!F10-'no mortgage'!F10</f>
        <v>1687</v>
      </c>
      <c r="G10" s="15">
        <f>'100% mortgage'!G10-'no mortgage'!G10</f>
        <v>0</v>
      </c>
      <c r="H10" s="81">
        <f t="shared" si="0"/>
        <v>1687</v>
      </c>
      <c r="I10" s="15">
        <f t="shared" si="1"/>
        <v>1687</v>
      </c>
      <c r="J10" s="15">
        <f t="shared" si="2"/>
        <v>0</v>
      </c>
      <c r="K10" s="84">
        <v>0.25</v>
      </c>
      <c r="L10" s="5"/>
      <c r="M10" s="35">
        <f t="shared" si="3"/>
        <v>0.01687</v>
      </c>
      <c r="N10" s="33">
        <f t="shared" si="4"/>
        <v>0</v>
      </c>
      <c r="O10" s="33">
        <f t="shared" si="5"/>
        <v>0.01687</v>
      </c>
      <c r="P10" s="36">
        <f t="shared" si="6"/>
        <v>0</v>
      </c>
      <c r="Q10" s="26">
        <f t="shared" si="7"/>
        <v>0</v>
      </c>
      <c r="R10" s="27">
        <f t="shared" si="8"/>
        <v>1</v>
      </c>
      <c r="S10" s="28">
        <f t="shared" si="9"/>
        <v>0</v>
      </c>
      <c r="T10" s="44"/>
      <c r="U10" s="27"/>
      <c r="V10" s="45"/>
      <c r="W10" s="44">
        <f t="shared" si="10"/>
        <v>0</v>
      </c>
      <c r="X10" s="27">
        <f>D10/100000</f>
        <v>0</v>
      </c>
      <c r="Y10" s="45">
        <f t="shared" si="11"/>
        <v>0</v>
      </c>
      <c r="Z10" s="55"/>
    </row>
    <row r="11" spans="2:26" ht="15.75">
      <c r="B11" s="12" t="s">
        <v>0</v>
      </c>
      <c r="C11" s="15">
        <f>'100% mortgage'!C11-'no mortgage'!C11</f>
        <v>0</v>
      </c>
      <c r="D11" s="15">
        <f>'100% mortgage'!D11-'no mortgage'!D11</f>
        <v>240</v>
      </c>
      <c r="E11" s="15">
        <f>'100% mortgage'!E11-'no mortgage'!E11</f>
        <v>100</v>
      </c>
      <c r="F11" s="15">
        <f>'100% mortgage'!F11-'no mortgage'!F11</f>
        <v>0</v>
      </c>
      <c r="G11" s="15">
        <f>'100% mortgage'!G11-'no mortgage'!G11</f>
        <v>0</v>
      </c>
      <c r="H11" s="81">
        <f t="shared" si="0"/>
        <v>340</v>
      </c>
      <c r="I11" s="15">
        <f t="shared" si="1"/>
        <v>340</v>
      </c>
      <c r="J11" s="15">
        <f t="shared" si="2"/>
        <v>340</v>
      </c>
      <c r="K11" s="84">
        <v>0.175</v>
      </c>
      <c r="L11" s="5"/>
      <c r="M11" s="35">
        <f t="shared" si="3"/>
        <v>0.0034</v>
      </c>
      <c r="N11" s="33">
        <f t="shared" si="4"/>
        <v>0</v>
      </c>
      <c r="O11" s="33">
        <f t="shared" si="5"/>
        <v>0</v>
      </c>
      <c r="P11" s="36">
        <f t="shared" si="6"/>
        <v>0.0034</v>
      </c>
      <c r="Q11" s="26">
        <f t="shared" si="7"/>
        <v>0</v>
      </c>
      <c r="R11" s="27">
        <f t="shared" si="8"/>
        <v>0</v>
      </c>
      <c r="S11" s="28">
        <f t="shared" si="9"/>
        <v>1</v>
      </c>
      <c r="T11" s="26">
        <f t="shared" si="12"/>
        <v>0</v>
      </c>
      <c r="U11" s="27">
        <f>D11/J11</f>
        <v>0.7058823529411765</v>
      </c>
      <c r="V11" s="28">
        <f t="shared" si="13"/>
        <v>0.29411764705882354</v>
      </c>
      <c r="W11" s="26">
        <f t="shared" si="10"/>
        <v>0</v>
      </c>
      <c r="X11" s="27">
        <f>D11/100000</f>
        <v>0.0024</v>
      </c>
      <c r="Y11" s="28">
        <f t="shared" si="11"/>
        <v>0.001</v>
      </c>
      <c r="Z11" s="27"/>
    </row>
    <row r="12" spans="2:26" ht="15.75">
      <c r="B12" s="12" t="s">
        <v>1</v>
      </c>
      <c r="C12" s="15">
        <f>'100% mortgage'!C12-'no mortgage'!C12</f>
        <v>0</v>
      </c>
      <c r="D12" s="15">
        <f>'100% mortgage'!D12-'no mortgage'!D12</f>
        <v>0</v>
      </c>
      <c r="E12" s="15">
        <f>'100% mortgage'!E12-'no mortgage'!E12</f>
        <v>353.2</v>
      </c>
      <c r="F12" s="15">
        <f>'100% mortgage'!F12-'no mortgage'!F12</f>
        <v>44</v>
      </c>
      <c r="G12" s="15">
        <f>'100% mortgage'!G12-'no mortgage'!G12</f>
        <v>0</v>
      </c>
      <c r="H12" s="81">
        <f t="shared" si="0"/>
        <v>397.2</v>
      </c>
      <c r="I12" s="15">
        <f t="shared" si="1"/>
        <v>397.2</v>
      </c>
      <c r="J12" s="15">
        <f t="shared" si="2"/>
        <v>353.2</v>
      </c>
      <c r="K12" s="84"/>
      <c r="L12" s="5"/>
      <c r="M12" s="35">
        <f t="shared" si="3"/>
        <v>0.003972</v>
      </c>
      <c r="N12" s="33">
        <f t="shared" si="4"/>
        <v>0</v>
      </c>
      <c r="O12" s="33">
        <f t="shared" si="5"/>
        <v>0.00044</v>
      </c>
      <c r="P12" s="36">
        <f t="shared" si="6"/>
        <v>0.003532</v>
      </c>
      <c r="Q12" s="26">
        <f t="shared" si="7"/>
        <v>0</v>
      </c>
      <c r="R12" s="27">
        <f t="shared" si="8"/>
        <v>0.1107754279959718</v>
      </c>
      <c r="S12" s="28">
        <f t="shared" si="9"/>
        <v>0.8892245720040282</v>
      </c>
      <c r="T12" s="44">
        <f t="shared" si="12"/>
        <v>0</v>
      </c>
      <c r="U12" s="27">
        <f>D12/J12</f>
        <v>0</v>
      </c>
      <c r="V12" s="45">
        <f t="shared" si="13"/>
        <v>1</v>
      </c>
      <c r="W12" s="44">
        <f t="shared" si="10"/>
        <v>0</v>
      </c>
      <c r="X12" s="27">
        <f>D12/100000</f>
        <v>0</v>
      </c>
      <c r="Y12" s="45">
        <f t="shared" si="11"/>
        <v>0.003532</v>
      </c>
      <c r="Z12" s="55"/>
    </row>
    <row r="13" spans="2:26" ht="15.75">
      <c r="B13" s="12" t="s">
        <v>2</v>
      </c>
      <c r="C13" s="15">
        <f>'100% mortgage'!C13-'no mortgage'!C13</f>
        <v>0</v>
      </c>
      <c r="D13" s="15">
        <f>'100% mortgage'!D13-'no mortgage'!D13</f>
        <v>0</v>
      </c>
      <c r="E13" s="15">
        <f>'100% mortgage'!E13-'no mortgage'!E13</f>
        <v>385.3299999999999</v>
      </c>
      <c r="F13" s="15">
        <f>'100% mortgage'!F13-'no mortgage'!F13</f>
        <v>50</v>
      </c>
      <c r="G13" s="15">
        <f>'100% mortgage'!G13-'no mortgage'!G13</f>
        <v>0</v>
      </c>
      <c r="H13" s="81">
        <f t="shared" si="0"/>
        <v>435.3299999999999</v>
      </c>
      <c r="I13" s="15">
        <f t="shared" si="1"/>
        <v>435.3299999999999</v>
      </c>
      <c r="J13" s="15">
        <f t="shared" si="2"/>
        <v>385.3299999999999</v>
      </c>
      <c r="K13" s="84">
        <v>0.196</v>
      </c>
      <c r="L13" s="5"/>
      <c r="M13" s="35">
        <f t="shared" si="3"/>
        <v>0.004353299999999999</v>
      </c>
      <c r="N13" s="33">
        <f t="shared" si="4"/>
        <v>0</v>
      </c>
      <c r="O13" s="33">
        <f t="shared" si="5"/>
        <v>0.0005</v>
      </c>
      <c r="P13" s="36">
        <f t="shared" si="6"/>
        <v>0.003853299999999999</v>
      </c>
      <c r="Q13" s="26">
        <f t="shared" si="7"/>
        <v>0</v>
      </c>
      <c r="R13" s="27">
        <f t="shared" si="8"/>
        <v>0.11485539705510764</v>
      </c>
      <c r="S13" s="28">
        <f t="shared" si="9"/>
        <v>0.8851446029448924</v>
      </c>
      <c r="T13" s="26">
        <f t="shared" si="12"/>
        <v>0</v>
      </c>
      <c r="U13" s="27">
        <f>D13/J13</f>
        <v>0</v>
      </c>
      <c r="V13" s="28">
        <f t="shared" si="13"/>
        <v>1</v>
      </c>
      <c r="W13" s="26">
        <f t="shared" si="10"/>
        <v>0</v>
      </c>
      <c r="X13" s="27">
        <f>D13/100000</f>
        <v>0</v>
      </c>
      <c r="Y13" s="28">
        <f t="shared" si="11"/>
        <v>0.003853299999999999</v>
      </c>
      <c r="Z13" s="27"/>
    </row>
    <row r="14" spans="2:26" ht="15.75">
      <c r="B14" s="12" t="s">
        <v>3</v>
      </c>
      <c r="C14" s="15">
        <f>'100% mortgage'!C14-'no mortgage'!C14</f>
        <v>0</v>
      </c>
      <c r="D14" s="16" t="s">
        <v>43</v>
      </c>
      <c r="E14" s="15">
        <f>'100% mortgage'!E14-'no mortgage'!E14</f>
        <v>228</v>
      </c>
      <c r="F14" s="15">
        <f>'100% mortgage'!F14-'no mortgage'!F14</f>
        <v>207</v>
      </c>
      <c r="G14" s="15">
        <f>'100% mortgage'!G14-'no mortgage'!G14</f>
        <v>0</v>
      </c>
      <c r="H14" s="81">
        <f t="shared" si="0"/>
        <v>435</v>
      </c>
      <c r="I14" s="15">
        <f t="shared" si="1"/>
        <v>435</v>
      </c>
      <c r="J14" s="15">
        <f t="shared" si="2"/>
        <v>228</v>
      </c>
      <c r="K14" s="84">
        <v>0.16</v>
      </c>
      <c r="L14" s="5"/>
      <c r="M14" s="35">
        <f t="shared" si="3"/>
        <v>0.00435</v>
      </c>
      <c r="N14" s="33">
        <f t="shared" si="4"/>
        <v>0</v>
      </c>
      <c r="O14" s="33">
        <f t="shared" si="5"/>
        <v>0.00207</v>
      </c>
      <c r="P14" s="36">
        <f t="shared" si="6"/>
        <v>0.00228</v>
      </c>
      <c r="Q14" s="26">
        <f t="shared" si="7"/>
        <v>0</v>
      </c>
      <c r="R14" s="27">
        <f t="shared" si="8"/>
        <v>0.47586206896551725</v>
      </c>
      <c r="S14" s="28">
        <f t="shared" si="9"/>
        <v>0.5241379310344828</v>
      </c>
      <c r="T14" s="26">
        <f t="shared" si="12"/>
        <v>0</v>
      </c>
      <c r="U14" s="27"/>
      <c r="V14" s="28">
        <f t="shared" si="13"/>
        <v>1</v>
      </c>
      <c r="W14" s="26">
        <f t="shared" si="10"/>
        <v>0</v>
      </c>
      <c r="X14" s="27"/>
      <c r="Y14" s="28">
        <f t="shared" si="11"/>
        <v>0.00228</v>
      </c>
      <c r="Z14" s="27"/>
    </row>
    <row r="15" spans="2:26" ht="15.75">
      <c r="B15" s="12" t="s">
        <v>15</v>
      </c>
      <c r="C15" s="15">
        <f>'100% mortgage'!C15-'no mortgage'!C15</f>
        <v>0</v>
      </c>
      <c r="D15" s="15">
        <f>'100% mortgage'!D15-'no mortgage'!D15</f>
        <v>0</v>
      </c>
      <c r="E15" s="15">
        <f>'100% mortgage'!E15-'no mortgage'!E15</f>
        <v>500</v>
      </c>
      <c r="F15" s="15">
        <f>'100% mortgage'!F15-'no mortgage'!F15</f>
        <v>790</v>
      </c>
      <c r="G15" s="15">
        <f>'100% mortgage'!G15-'no mortgage'!G15</f>
        <v>0</v>
      </c>
      <c r="H15" s="81">
        <f t="shared" si="0"/>
        <v>1290</v>
      </c>
      <c r="I15" s="15">
        <f t="shared" si="1"/>
        <v>1290</v>
      </c>
      <c r="J15" s="15">
        <f t="shared" si="2"/>
        <v>500</v>
      </c>
      <c r="K15" s="84">
        <v>0.19</v>
      </c>
      <c r="L15" s="5"/>
      <c r="M15" s="35">
        <f t="shared" si="3"/>
        <v>0.0129</v>
      </c>
      <c r="N15" s="33">
        <f t="shared" si="4"/>
        <v>0</v>
      </c>
      <c r="O15" s="33">
        <f t="shared" si="5"/>
        <v>0.0079</v>
      </c>
      <c r="P15" s="36">
        <f t="shared" si="6"/>
        <v>0.005</v>
      </c>
      <c r="Q15" s="26">
        <f t="shared" si="7"/>
        <v>0</v>
      </c>
      <c r="R15" s="27">
        <f t="shared" si="8"/>
        <v>0.6124031007751938</v>
      </c>
      <c r="S15" s="28">
        <f t="shared" si="9"/>
        <v>0.3875968992248062</v>
      </c>
      <c r="T15" s="26">
        <f t="shared" si="12"/>
        <v>0</v>
      </c>
      <c r="U15" s="27">
        <f>D15/J15</f>
        <v>0</v>
      </c>
      <c r="V15" s="28">
        <f t="shared" si="13"/>
        <v>1</v>
      </c>
      <c r="W15" s="26">
        <f t="shared" si="10"/>
        <v>0</v>
      </c>
      <c r="X15" s="27">
        <f>D15/100000</f>
        <v>0</v>
      </c>
      <c r="Y15" s="28">
        <f t="shared" si="11"/>
        <v>0.005</v>
      </c>
      <c r="Z15" s="27"/>
    </row>
    <row r="16" spans="2:26" ht="15.75">
      <c r="B16" s="12" t="s">
        <v>19</v>
      </c>
      <c r="C16" s="15">
        <f>'100% mortgage'!C16-'no mortgage'!C16</f>
        <v>0</v>
      </c>
      <c r="D16" s="16" t="s">
        <v>43</v>
      </c>
      <c r="E16" s="15">
        <f>'100% mortgage'!E16-'no mortgage'!E16</f>
        <v>1040</v>
      </c>
      <c r="F16" s="15">
        <f>'100% mortgage'!F16-'no mortgage'!F16</f>
        <v>44</v>
      </c>
      <c r="G16" s="15">
        <f>'100% mortgage'!G16-'no mortgage'!G16</f>
        <v>0</v>
      </c>
      <c r="H16" s="81">
        <f t="shared" si="0"/>
        <v>1084</v>
      </c>
      <c r="I16" s="15">
        <f t="shared" si="1"/>
        <v>1084</v>
      </c>
      <c r="J16" s="15">
        <f t="shared" si="2"/>
        <v>1040</v>
      </c>
      <c r="K16" s="84">
        <v>0.2</v>
      </c>
      <c r="L16" s="5"/>
      <c r="M16" s="35">
        <f t="shared" si="3"/>
        <v>0.01084</v>
      </c>
      <c r="N16" s="33">
        <f t="shared" si="4"/>
        <v>0</v>
      </c>
      <c r="O16" s="33">
        <f t="shared" si="5"/>
        <v>0.00044</v>
      </c>
      <c r="P16" s="36">
        <f t="shared" si="6"/>
        <v>0.0104</v>
      </c>
      <c r="Q16" s="26">
        <f t="shared" si="7"/>
        <v>0</v>
      </c>
      <c r="R16" s="27">
        <f t="shared" si="8"/>
        <v>0.04059040590405904</v>
      </c>
      <c r="S16" s="28">
        <f t="shared" si="9"/>
        <v>0.959409594095941</v>
      </c>
      <c r="T16" s="26">
        <f t="shared" si="12"/>
        <v>0</v>
      </c>
      <c r="U16" s="27"/>
      <c r="V16" s="28">
        <f t="shared" si="13"/>
        <v>1</v>
      </c>
      <c r="W16" s="26">
        <f t="shared" si="10"/>
        <v>0</v>
      </c>
      <c r="X16" s="27"/>
      <c r="Y16" s="28">
        <f t="shared" si="11"/>
        <v>0.0104</v>
      </c>
      <c r="Z16" s="27"/>
    </row>
    <row r="17" spans="2:26" ht="15.75">
      <c r="B17" s="12" t="s">
        <v>4</v>
      </c>
      <c r="C17" s="15">
        <f>'100% mortgage'!C17-'no mortgage'!C17</f>
        <v>0</v>
      </c>
      <c r="D17" s="15">
        <f>'100% mortgage'!D17-'no mortgage'!D17</f>
        <v>0</v>
      </c>
      <c r="E17" s="15">
        <f>'100% mortgage'!E17-'no mortgage'!E17</f>
        <v>0</v>
      </c>
      <c r="F17" s="15">
        <f>'100% mortgage'!F17-'no mortgage'!F17</f>
        <v>0</v>
      </c>
      <c r="G17" s="15">
        <f>'100% mortgage'!G17-'no mortgage'!G17</f>
        <v>0</v>
      </c>
      <c r="H17" s="81">
        <f t="shared" si="0"/>
        <v>0</v>
      </c>
      <c r="I17" s="15">
        <f t="shared" si="1"/>
        <v>0</v>
      </c>
      <c r="J17" s="15">
        <f t="shared" si="2"/>
        <v>0</v>
      </c>
      <c r="K17" s="84">
        <v>0.21</v>
      </c>
      <c r="L17" s="5"/>
      <c r="M17" s="35">
        <f t="shared" si="3"/>
        <v>0</v>
      </c>
      <c r="N17" s="33">
        <f t="shared" si="4"/>
        <v>0</v>
      </c>
      <c r="O17" s="33">
        <f t="shared" si="5"/>
        <v>0</v>
      </c>
      <c r="P17" s="36">
        <f t="shared" si="6"/>
        <v>0</v>
      </c>
      <c r="Q17" s="26"/>
      <c r="R17" s="27"/>
      <c r="S17" s="28"/>
      <c r="T17" s="26"/>
      <c r="U17" s="27"/>
      <c r="V17" s="28"/>
      <c r="W17" s="26">
        <f t="shared" si="10"/>
        <v>0</v>
      </c>
      <c r="X17" s="27">
        <f>D17/100000</f>
        <v>0</v>
      </c>
      <c r="Y17" s="28">
        <f t="shared" si="11"/>
        <v>0</v>
      </c>
      <c r="Z17" s="27"/>
    </row>
    <row r="18" spans="2:26" ht="15.75">
      <c r="B18" s="12" t="s">
        <v>5</v>
      </c>
      <c r="C18" s="15">
        <f>'100% mortgage'!C18-'no mortgage'!C18</f>
        <v>0</v>
      </c>
      <c r="D18" s="16" t="s">
        <v>43</v>
      </c>
      <c r="E18" s="15">
        <f>'100% mortgage'!E18-'no mortgage'!E18</f>
        <v>1170</v>
      </c>
      <c r="F18" s="15">
        <f>'100% mortgage'!F18-'no mortgage'!F18</f>
        <v>34.71000000000001</v>
      </c>
      <c r="G18" s="15">
        <f>'100% mortgage'!G18-'no mortgage'!G18</f>
        <v>168</v>
      </c>
      <c r="H18" s="81">
        <f t="shared" si="0"/>
        <v>1372.71</v>
      </c>
      <c r="I18" s="15">
        <f t="shared" si="1"/>
        <v>1204.71</v>
      </c>
      <c r="J18" s="15">
        <f t="shared" si="2"/>
        <v>1170</v>
      </c>
      <c r="K18" s="84">
        <v>0.2</v>
      </c>
      <c r="L18" s="5"/>
      <c r="M18" s="35">
        <f t="shared" si="3"/>
        <v>0.0137271</v>
      </c>
      <c r="N18" s="33">
        <f t="shared" si="4"/>
        <v>0.00168</v>
      </c>
      <c r="O18" s="33">
        <f t="shared" si="5"/>
        <v>0.0003471000000000001</v>
      </c>
      <c r="P18" s="36">
        <f t="shared" si="6"/>
        <v>0.0117</v>
      </c>
      <c r="Q18" s="26">
        <f t="shared" si="7"/>
        <v>0.12238564591210088</v>
      </c>
      <c r="R18" s="27">
        <f t="shared" si="8"/>
        <v>0.025285748628625135</v>
      </c>
      <c r="S18" s="28">
        <f t="shared" si="9"/>
        <v>0.8523286054592739</v>
      </c>
      <c r="T18" s="26">
        <f t="shared" si="12"/>
        <v>0</v>
      </c>
      <c r="U18" s="27"/>
      <c r="V18" s="28">
        <f t="shared" si="13"/>
        <v>1</v>
      </c>
      <c r="W18" s="26">
        <f t="shared" si="10"/>
        <v>0</v>
      </c>
      <c r="X18" s="27"/>
      <c r="Y18" s="28">
        <f t="shared" si="11"/>
        <v>0.0117</v>
      </c>
      <c r="Z18" s="27"/>
    </row>
    <row r="19" spans="2:26" ht="15.75">
      <c r="B19" s="12" t="s">
        <v>6</v>
      </c>
      <c r="C19" s="15">
        <f>'100% mortgage'!C19-'no mortgage'!C19</f>
        <v>0</v>
      </c>
      <c r="D19" s="16" t="s">
        <v>43</v>
      </c>
      <c r="E19" s="15">
        <f>'100% mortgage'!E19-'no mortgage'!E19</f>
        <v>564</v>
      </c>
      <c r="F19" s="15">
        <f>'100% mortgage'!F19-'no mortgage'!F19</f>
        <v>73</v>
      </c>
      <c r="G19" s="15">
        <f>'100% mortgage'!G19-'no mortgage'!G19</f>
        <v>0</v>
      </c>
      <c r="H19" s="81">
        <f t="shared" si="0"/>
        <v>637</v>
      </c>
      <c r="I19" s="15">
        <f t="shared" si="1"/>
        <v>637</v>
      </c>
      <c r="J19" s="15">
        <f t="shared" si="2"/>
        <v>564</v>
      </c>
      <c r="K19" s="84">
        <v>0.19</v>
      </c>
      <c r="L19" s="5"/>
      <c r="M19" s="35">
        <f t="shared" si="3"/>
        <v>0.00637</v>
      </c>
      <c r="N19" s="33">
        <f t="shared" si="4"/>
        <v>0</v>
      </c>
      <c r="O19" s="33">
        <f t="shared" si="5"/>
        <v>0.00073</v>
      </c>
      <c r="P19" s="36">
        <f t="shared" si="6"/>
        <v>0.00564</v>
      </c>
      <c r="Q19" s="26">
        <f t="shared" si="7"/>
        <v>0</v>
      </c>
      <c r="R19" s="27">
        <f t="shared" si="8"/>
        <v>0.11459968602825746</v>
      </c>
      <c r="S19" s="28">
        <f t="shared" si="9"/>
        <v>0.8854003139717426</v>
      </c>
      <c r="T19" s="26">
        <f t="shared" si="12"/>
        <v>0</v>
      </c>
      <c r="U19" s="27"/>
      <c r="V19" s="28">
        <f t="shared" si="13"/>
        <v>1</v>
      </c>
      <c r="W19" s="26">
        <f t="shared" si="10"/>
        <v>0</v>
      </c>
      <c r="X19" s="27"/>
      <c r="Y19" s="28">
        <f t="shared" si="11"/>
        <v>0.00564</v>
      </c>
      <c r="Z19" s="27"/>
    </row>
    <row r="20" spans="2:26" ht="15.75">
      <c r="B20" s="12" t="s">
        <v>7</v>
      </c>
      <c r="C20" s="15">
        <f>'100% mortgage'!C20-'no mortgage'!C20</f>
        <v>0</v>
      </c>
      <c r="D20" s="15">
        <f>'100% mortgage'!D20</f>
        <v>250</v>
      </c>
      <c r="E20" s="15">
        <f>'100% mortgage'!E20-'no mortgage'!E20</f>
        <v>0</v>
      </c>
      <c r="F20" s="15">
        <f>'100% mortgage'!F20-'no mortgage'!F20</f>
        <v>0</v>
      </c>
      <c r="G20" s="15">
        <f>'100% mortgage'!G20-'no mortgage'!G20</f>
        <v>2025</v>
      </c>
      <c r="H20" s="81">
        <f t="shared" si="0"/>
        <v>2275</v>
      </c>
      <c r="I20" s="15">
        <f t="shared" si="1"/>
        <v>250</v>
      </c>
      <c r="J20" s="15">
        <f t="shared" si="2"/>
        <v>250</v>
      </c>
      <c r="K20" s="84">
        <v>0.22</v>
      </c>
      <c r="L20" s="5"/>
      <c r="M20" s="35">
        <f t="shared" si="3"/>
        <v>0.02275</v>
      </c>
      <c r="N20" s="33">
        <f t="shared" si="4"/>
        <v>0.02025</v>
      </c>
      <c r="O20" s="33">
        <f t="shared" si="5"/>
        <v>0</v>
      </c>
      <c r="P20" s="36">
        <f t="shared" si="6"/>
        <v>0.0025</v>
      </c>
      <c r="Q20" s="26">
        <f t="shared" si="7"/>
        <v>0.8901098901098901</v>
      </c>
      <c r="R20" s="27">
        <f t="shared" si="8"/>
        <v>0</v>
      </c>
      <c r="S20" s="28">
        <f t="shared" si="9"/>
        <v>0.10989010989010989</v>
      </c>
      <c r="T20" s="26">
        <f t="shared" si="12"/>
        <v>0</v>
      </c>
      <c r="U20" s="27">
        <f>D20/J20</f>
        <v>1</v>
      </c>
      <c r="V20" s="28">
        <f t="shared" si="13"/>
        <v>0</v>
      </c>
      <c r="W20" s="26">
        <f t="shared" si="10"/>
        <v>0</v>
      </c>
      <c r="X20" s="27">
        <f>D20/100000</f>
        <v>0.0025</v>
      </c>
      <c r="Y20" s="28">
        <f t="shared" si="11"/>
        <v>0</v>
      </c>
      <c r="Z20" s="27"/>
    </row>
    <row r="21" spans="2:26" ht="15.75">
      <c r="B21" s="12" t="s">
        <v>189</v>
      </c>
      <c r="C21" s="15">
        <f>'100% mortgage'!C21-'no mortgage'!C21</f>
        <v>0</v>
      </c>
      <c r="D21" s="15">
        <f>'100% mortgage'!D21</f>
        <v>275</v>
      </c>
      <c r="E21" s="15">
        <f>'100% mortgage'!E21-'no mortgage'!E21</f>
        <v>87</v>
      </c>
      <c r="F21" s="15">
        <f>'100% mortgage'!F21-'no mortgage'!F21</f>
        <v>135</v>
      </c>
      <c r="G21" s="15">
        <f>'100% mortgage'!G21-'no mortgage'!G21</f>
        <v>600</v>
      </c>
      <c r="H21" s="81">
        <f>SUM(C21:G21)</f>
        <v>1097</v>
      </c>
      <c r="I21" s="15">
        <f>SUM(C21:F21)</f>
        <v>497</v>
      </c>
      <c r="J21" s="15">
        <f>SUM(C21:E21)</f>
        <v>362</v>
      </c>
      <c r="K21" s="84">
        <v>0.21</v>
      </c>
      <c r="L21" s="5"/>
      <c r="M21" s="35">
        <f>H21/100000</f>
        <v>0.01097</v>
      </c>
      <c r="N21" s="33">
        <f>G21/100000</f>
        <v>0.006</v>
      </c>
      <c r="O21" s="33">
        <f>F21/100000</f>
        <v>0.00135</v>
      </c>
      <c r="P21" s="36">
        <f>J21/100000</f>
        <v>0.00362</v>
      </c>
      <c r="Q21" s="26">
        <f>G21/H21</f>
        <v>0.5469462169553327</v>
      </c>
      <c r="R21" s="27">
        <f>F21/H21</f>
        <v>0.12306289881494986</v>
      </c>
      <c r="S21" s="28">
        <f>J21/H21</f>
        <v>0.3299908842297174</v>
      </c>
      <c r="T21" s="26">
        <f>C21/J21</f>
        <v>0</v>
      </c>
      <c r="U21" s="27">
        <f>D21/J21</f>
        <v>0.7596685082872928</v>
      </c>
      <c r="V21" s="28">
        <f>E21/J21</f>
        <v>0.24033149171270718</v>
      </c>
      <c r="W21" s="26">
        <f>C21/100000</f>
        <v>0</v>
      </c>
      <c r="X21" s="27">
        <f>D21/100000</f>
        <v>0.00275</v>
      </c>
      <c r="Y21" s="28">
        <f>E21/100000</f>
        <v>0.00087</v>
      </c>
      <c r="Z21" s="27"/>
    </row>
    <row r="22" spans="2:26" ht="15.75">
      <c r="B22" s="19" t="s">
        <v>8</v>
      </c>
      <c r="C22" s="15">
        <f>'100% mortgage'!C22-'no mortgage'!C22</f>
        <v>0</v>
      </c>
      <c r="D22" s="15">
        <f>'100% mortgage'!D22-'no mortgage'!D22</f>
        <v>0</v>
      </c>
      <c r="E22" s="15">
        <f>'100% mortgage'!E22-'no mortgage'!E22</f>
        <v>147</v>
      </c>
      <c r="F22" s="15">
        <f>'100% mortgage'!F22-'no mortgage'!F22</f>
        <v>33</v>
      </c>
      <c r="G22" s="15">
        <f>'100% mortgage'!G22-'no mortgage'!G22</f>
        <v>0</v>
      </c>
      <c r="H22" s="81">
        <f t="shared" si="0"/>
        <v>180</v>
      </c>
      <c r="I22" s="15">
        <f t="shared" si="1"/>
        <v>180</v>
      </c>
      <c r="J22" s="15">
        <f t="shared" si="2"/>
        <v>147</v>
      </c>
      <c r="K22" s="84">
        <v>0.175</v>
      </c>
      <c r="L22" s="5"/>
      <c r="M22" s="35">
        <f t="shared" si="3"/>
        <v>0.0018</v>
      </c>
      <c r="N22" s="33">
        <f t="shared" si="4"/>
        <v>0</v>
      </c>
      <c r="O22" s="33">
        <f t="shared" si="5"/>
        <v>0.00033</v>
      </c>
      <c r="P22" s="36">
        <f t="shared" si="6"/>
        <v>0.00147</v>
      </c>
      <c r="Q22" s="26">
        <f t="shared" si="7"/>
        <v>0</v>
      </c>
      <c r="R22" s="27">
        <f t="shared" si="8"/>
        <v>0.18333333333333332</v>
      </c>
      <c r="S22" s="28">
        <f t="shared" si="9"/>
        <v>0.8166666666666667</v>
      </c>
      <c r="T22" s="26">
        <f t="shared" si="12"/>
        <v>0</v>
      </c>
      <c r="U22" s="27">
        <f>D22/J22</f>
        <v>0</v>
      </c>
      <c r="V22" s="28">
        <f t="shared" si="13"/>
        <v>1</v>
      </c>
      <c r="W22" s="26">
        <f t="shared" si="10"/>
        <v>0</v>
      </c>
      <c r="X22" s="27">
        <f>D22/100000</f>
        <v>0</v>
      </c>
      <c r="Y22" s="28">
        <f t="shared" si="11"/>
        <v>0.00147</v>
      </c>
      <c r="Z22" s="27"/>
    </row>
    <row r="23" spans="2:26" ht="15.75">
      <c r="B23" s="19" t="s">
        <v>188</v>
      </c>
      <c r="C23" s="15">
        <f>'100% mortgage'!C23-'no mortgage'!C23</f>
        <v>0</v>
      </c>
      <c r="D23" s="15">
        <f>'100% mortgage'!D23-'no mortgage'!D23</f>
        <v>0</v>
      </c>
      <c r="E23" s="15">
        <f>'100% mortgage'!E23-'no mortgage'!E23</f>
        <v>0</v>
      </c>
      <c r="F23" s="15">
        <f>'100% mortgage'!F23-'no mortgage'!F23</f>
        <v>0</v>
      </c>
      <c r="G23" s="15">
        <f>'100% mortgage'!G23-'no mortgage'!G23</f>
        <v>0</v>
      </c>
      <c r="H23" s="81">
        <f>SUM(C23:G23)</f>
        <v>0</v>
      </c>
      <c r="I23" s="15">
        <f>SUM(C23:F23)</f>
        <v>0</v>
      </c>
      <c r="J23" s="15">
        <f>SUM(C23:E23)</f>
        <v>0</v>
      </c>
      <c r="K23" s="84">
        <v>0.19</v>
      </c>
      <c r="L23" s="5"/>
      <c r="M23" s="35">
        <f>H23/100000</f>
        <v>0</v>
      </c>
      <c r="N23" s="33">
        <f>G23/100000</f>
        <v>0</v>
      </c>
      <c r="O23" s="33">
        <f>F23/100000</f>
        <v>0</v>
      </c>
      <c r="P23" s="36">
        <f>J23/100000</f>
        <v>0</v>
      </c>
      <c r="Q23" s="26"/>
      <c r="R23" s="27"/>
      <c r="S23" s="28"/>
      <c r="T23" s="26"/>
      <c r="U23" s="27"/>
      <c r="V23" s="28"/>
      <c r="W23" s="26">
        <f>C23/100000</f>
        <v>0</v>
      </c>
      <c r="X23" s="27">
        <f>D23/100000</f>
        <v>0</v>
      </c>
      <c r="Y23" s="28">
        <f>E23/100000</f>
        <v>0</v>
      </c>
      <c r="Z23" s="27"/>
    </row>
    <row r="24" spans="2:26" ht="15.75">
      <c r="B24" s="12" t="s">
        <v>16</v>
      </c>
      <c r="C24" s="15">
        <f>'100% mortgage'!C24-'no mortgage'!C24</f>
        <v>0</v>
      </c>
      <c r="D24" s="16" t="s">
        <v>43</v>
      </c>
      <c r="E24" s="15">
        <f>'100% mortgage'!E24-'no mortgage'!E24</f>
        <v>225</v>
      </c>
      <c r="F24" s="15">
        <f>'100% mortgage'!F24-'no mortgage'!F24</f>
        <v>50</v>
      </c>
      <c r="G24" s="15">
        <f>'100% mortgage'!G24-'no mortgage'!G24</f>
        <v>0</v>
      </c>
      <c r="H24" s="81">
        <f t="shared" si="0"/>
        <v>275</v>
      </c>
      <c r="I24" s="15">
        <f t="shared" si="1"/>
        <v>275</v>
      </c>
      <c r="J24" s="15">
        <f t="shared" si="2"/>
        <v>225</v>
      </c>
      <c r="K24" s="84">
        <v>0.19</v>
      </c>
      <c r="L24" s="5"/>
      <c r="M24" s="35">
        <f t="shared" si="3"/>
        <v>0.00275</v>
      </c>
      <c r="N24" s="33">
        <f t="shared" si="4"/>
        <v>0</v>
      </c>
      <c r="O24" s="33">
        <f t="shared" si="5"/>
        <v>0.0005</v>
      </c>
      <c r="P24" s="36">
        <f t="shared" si="6"/>
        <v>0.00225</v>
      </c>
      <c r="Q24" s="26">
        <f t="shared" si="7"/>
        <v>0</v>
      </c>
      <c r="R24" s="27">
        <f t="shared" si="8"/>
        <v>0.18181818181818182</v>
      </c>
      <c r="S24" s="28">
        <f t="shared" si="9"/>
        <v>0.8181818181818182</v>
      </c>
      <c r="T24" s="26">
        <f t="shared" si="12"/>
        <v>0</v>
      </c>
      <c r="U24" s="27"/>
      <c r="V24" s="28">
        <f t="shared" si="13"/>
        <v>1</v>
      </c>
      <c r="W24" s="26">
        <f t="shared" si="10"/>
        <v>0</v>
      </c>
      <c r="X24" s="27"/>
      <c r="Y24" s="28">
        <f t="shared" si="11"/>
        <v>0.00225</v>
      </c>
      <c r="Z24" s="27"/>
    </row>
    <row r="25" spans="2:26" ht="15.75">
      <c r="B25" s="12" t="s">
        <v>9</v>
      </c>
      <c r="C25" s="15">
        <f>'100% mortgage'!C25-'no mortgage'!C25</f>
        <v>0</v>
      </c>
      <c r="D25" s="15">
        <f>'100% mortgage'!D25</f>
        <v>130</v>
      </c>
      <c r="E25" s="15">
        <f>'100% mortgage'!E25-'no mortgage'!E25</f>
        <v>589</v>
      </c>
      <c r="F25" s="15">
        <f>'100% mortgage'!F25-'no mortgage'!F25</f>
        <v>161</v>
      </c>
      <c r="G25" s="15">
        <f>'100% mortgage'!G25-'no mortgage'!G25</f>
        <v>1699.999999999999</v>
      </c>
      <c r="H25" s="81">
        <f t="shared" si="0"/>
        <v>2579.999999999999</v>
      </c>
      <c r="I25" s="15">
        <f t="shared" si="1"/>
        <v>880</v>
      </c>
      <c r="J25" s="15">
        <f t="shared" si="2"/>
        <v>719</v>
      </c>
      <c r="K25" s="84">
        <v>0.16</v>
      </c>
      <c r="L25" s="5"/>
      <c r="M25" s="35">
        <f t="shared" si="3"/>
        <v>0.02579999999999999</v>
      </c>
      <c r="N25" s="33">
        <f t="shared" si="4"/>
        <v>0.01699999999999999</v>
      </c>
      <c r="O25" s="33">
        <f t="shared" si="5"/>
        <v>0.00161</v>
      </c>
      <c r="P25" s="36">
        <f t="shared" si="6"/>
        <v>0.00719</v>
      </c>
      <c r="Q25" s="26">
        <f t="shared" si="7"/>
        <v>0.6589147286821704</v>
      </c>
      <c r="R25" s="27">
        <f t="shared" si="8"/>
        <v>0.06240310077519382</v>
      </c>
      <c r="S25" s="28">
        <f t="shared" si="9"/>
        <v>0.2786821705426358</v>
      </c>
      <c r="T25" s="26">
        <f t="shared" si="12"/>
        <v>0</v>
      </c>
      <c r="U25" s="27">
        <f>D25/J25</f>
        <v>0.1808066759388039</v>
      </c>
      <c r="V25" s="28">
        <f t="shared" si="13"/>
        <v>0.8191933240611962</v>
      </c>
      <c r="W25" s="26">
        <f t="shared" si="10"/>
        <v>0</v>
      </c>
      <c r="X25" s="27">
        <f>D25/100000</f>
        <v>0.0013</v>
      </c>
      <c r="Y25" s="28">
        <f t="shared" si="11"/>
        <v>0.00589</v>
      </c>
      <c r="Z25" s="27"/>
    </row>
    <row r="26" spans="2:26" ht="15.75">
      <c r="B26" s="20" t="s">
        <v>10</v>
      </c>
      <c r="C26" s="22">
        <f>'100% mortgage'!C26-'no mortgage'!C26</f>
        <v>0</v>
      </c>
      <c r="D26" s="22">
        <f>'100% mortgage'!D26-'no mortgage'!D26</f>
        <v>0</v>
      </c>
      <c r="E26" s="22">
        <f>'100% mortgage'!E26-'no mortgage'!E26</f>
        <v>0</v>
      </c>
      <c r="F26" s="22">
        <f>'100% mortgage'!F26-'no mortgage'!F26</f>
        <v>40</v>
      </c>
      <c r="G26" s="138">
        <f>'100% mortgage'!G26-'no mortgage'!G26</f>
        <v>2000</v>
      </c>
      <c r="H26" s="82">
        <f t="shared" si="0"/>
        <v>2040</v>
      </c>
      <c r="I26" s="22">
        <f t="shared" si="1"/>
        <v>40</v>
      </c>
      <c r="J26" s="22">
        <f t="shared" si="2"/>
        <v>0</v>
      </c>
      <c r="K26" s="85">
        <v>0.25</v>
      </c>
      <c r="L26" s="5"/>
      <c r="M26" s="72">
        <f t="shared" si="3"/>
        <v>0.0204</v>
      </c>
      <c r="N26" s="33">
        <f t="shared" si="4"/>
        <v>0.02</v>
      </c>
      <c r="O26" s="33">
        <f t="shared" si="5"/>
        <v>0.0004</v>
      </c>
      <c r="P26" s="36">
        <f t="shared" si="6"/>
        <v>0</v>
      </c>
      <c r="Q26" s="26">
        <f t="shared" si="7"/>
        <v>0.9803921568627451</v>
      </c>
      <c r="R26" s="27">
        <f t="shared" si="8"/>
        <v>0.0196078431372549</v>
      </c>
      <c r="S26" s="28">
        <f t="shared" si="9"/>
        <v>0</v>
      </c>
      <c r="T26" s="44"/>
      <c r="U26" s="27"/>
      <c r="V26" s="45"/>
      <c r="W26" s="44">
        <f t="shared" si="10"/>
        <v>0</v>
      </c>
      <c r="X26" s="27">
        <f>D26/100000</f>
        <v>0</v>
      </c>
      <c r="Y26" s="45">
        <f t="shared" si="11"/>
        <v>0</v>
      </c>
      <c r="Z26" s="55"/>
    </row>
    <row r="27" spans="2:26" ht="15.75">
      <c r="B27" s="42" t="s">
        <v>27</v>
      </c>
      <c r="C27" s="70">
        <f>(SUM(C7:C26))/D28</f>
        <v>0</v>
      </c>
      <c r="D27" s="70">
        <f>(SUM(D7:D26))/D28</f>
        <v>44.75</v>
      </c>
      <c r="E27" s="70">
        <f>(SUM(E7:E26))/D28</f>
        <v>322.4785</v>
      </c>
      <c r="F27" s="70">
        <f>(SUM(F7:F26))/D28</f>
        <v>239.9355</v>
      </c>
      <c r="G27" s="70">
        <f>(SUM(G7:G26))/D28</f>
        <v>379.65</v>
      </c>
      <c r="H27" s="82">
        <f>(SUM(H7:H26))/D28</f>
        <v>986.814</v>
      </c>
      <c r="I27" s="70">
        <f>(SUM(I7:I26))/D28</f>
        <v>607.164</v>
      </c>
      <c r="J27" s="70">
        <f>(SUM(J7:J26))/D28</f>
        <v>367.2285</v>
      </c>
      <c r="K27" s="41"/>
      <c r="L27" s="29" t="s">
        <v>27</v>
      </c>
      <c r="M27" s="71">
        <f>(SUM(M7:M26))/D28</f>
        <v>0.009868140000000001</v>
      </c>
      <c r="N27" s="53">
        <f>(SUM(N7:N26))/D28</f>
        <v>0.0037965</v>
      </c>
      <c r="O27" s="53">
        <f>(SUM(O7:O26))/D28</f>
        <v>0.0023993550000000006</v>
      </c>
      <c r="P27" s="53">
        <f>(SUM(P7:P26))/D28</f>
        <v>0.003672285000000001</v>
      </c>
      <c r="Q27" s="52">
        <f>(SUM(Q7:Q26))/D28</f>
        <v>0.18871757258250849</v>
      </c>
      <c r="R27" s="53">
        <f>(SUM(R7:R26))/D28</f>
        <v>0.20977080071985427</v>
      </c>
      <c r="S27" s="53">
        <f>(SUM(S7:S26))/D28</f>
        <v>0.4515116266976372</v>
      </c>
      <c r="T27" s="52">
        <f>(SUM(T7:T26))/D28</f>
        <v>0</v>
      </c>
      <c r="U27" s="53">
        <f>(SUM(U7:U26))/D28</f>
        <v>0.13231787685836366</v>
      </c>
      <c r="V27" s="53">
        <f>(SUM(V7:V26))/D28</f>
        <v>0.5676821231416362</v>
      </c>
      <c r="W27" s="52">
        <f>(SUM(W7:W26))/D28</f>
        <v>0</v>
      </c>
      <c r="X27" s="53">
        <f>(SUM(X7:X26))/I28</f>
        <v>0.0006884615384615384</v>
      </c>
      <c r="Y27" s="54">
        <f>(SUM(Y7:Y26))/D28</f>
        <v>0.003224785000000001</v>
      </c>
      <c r="Z27" s="32"/>
    </row>
    <row r="28" spans="2:26" ht="15.75">
      <c r="B28" s="64"/>
      <c r="C28" s="65" t="s">
        <v>44</v>
      </c>
      <c r="D28" s="66">
        <v>20</v>
      </c>
      <c r="E28" s="67"/>
      <c r="F28" s="65"/>
      <c r="G28" s="65"/>
      <c r="H28" s="65" t="s">
        <v>52</v>
      </c>
      <c r="I28" s="66">
        <v>13</v>
      </c>
      <c r="J28" s="68"/>
      <c r="K28" s="41"/>
      <c r="L28" s="3"/>
      <c r="M28" s="3"/>
      <c r="N28" s="3"/>
      <c r="O28" s="3"/>
      <c r="P28" s="3"/>
      <c r="T28" s="50" t="s">
        <v>51</v>
      </c>
      <c r="U28" s="31">
        <f>(SUM(U7:U26))/I28</f>
        <v>0.20356596439748256</v>
      </c>
      <c r="W28" s="47"/>
      <c r="X28" s="46"/>
      <c r="Y28" s="47"/>
      <c r="Z28" s="49"/>
    </row>
    <row r="29" spans="2:26" ht="15.75">
      <c r="B29" s="87"/>
      <c r="C29" s="69"/>
      <c r="L29" s="3"/>
      <c r="M29" s="3"/>
      <c r="N29" s="3"/>
      <c r="O29" s="3"/>
      <c r="P29" s="3"/>
      <c r="V29" s="51"/>
      <c r="W29" s="48"/>
      <c r="Y29" s="48"/>
      <c r="Z29" s="48"/>
    </row>
    <row r="30" spans="12:26" ht="15.75">
      <c r="L30" s="3"/>
      <c r="M30" s="3"/>
      <c r="N30" s="3"/>
      <c r="O30" s="3"/>
      <c r="P30" s="3"/>
      <c r="W30" s="49"/>
      <c r="X30" s="32"/>
      <c r="Y30" s="49"/>
      <c r="Z30" s="49"/>
    </row>
    <row r="31" spans="2:27" ht="15.75">
      <c r="B31" s="7"/>
      <c r="C31" s="8"/>
      <c r="D31" s="9">
        <v>250000</v>
      </c>
      <c r="E31" s="10" t="s">
        <v>123</v>
      </c>
      <c r="F31" s="8"/>
      <c r="G31" s="8"/>
      <c r="H31" s="7"/>
      <c r="I31" s="8"/>
      <c r="J31" s="8"/>
      <c r="K31" s="11"/>
      <c r="L31" s="3"/>
      <c r="M31" s="34"/>
      <c r="N31" s="40" t="s">
        <v>28</v>
      </c>
      <c r="O31" s="30"/>
      <c r="P31" s="11"/>
      <c r="Q31" s="7"/>
      <c r="R31" s="30" t="s">
        <v>21</v>
      </c>
      <c r="S31" s="11"/>
      <c r="T31" s="7"/>
      <c r="U31" s="30" t="s">
        <v>24</v>
      </c>
      <c r="V31" s="11"/>
      <c r="W31" s="7"/>
      <c r="X31" s="30" t="s">
        <v>39</v>
      </c>
      <c r="Y31" s="11"/>
      <c r="Z31" s="2"/>
      <c r="AA31" s="2"/>
    </row>
    <row r="32" spans="2:27" ht="12.75">
      <c r="B32" s="12"/>
      <c r="C32" s="2"/>
      <c r="D32" s="2"/>
      <c r="E32" s="2"/>
      <c r="F32" s="2"/>
      <c r="G32" s="2"/>
      <c r="H32" s="159"/>
      <c r="I32" s="158" t="s">
        <v>124</v>
      </c>
      <c r="J32" s="158"/>
      <c r="K32" s="13"/>
      <c r="L32" s="2"/>
      <c r="M32" s="37"/>
      <c r="N32" s="43" t="s">
        <v>31</v>
      </c>
      <c r="O32" s="43"/>
      <c r="P32" s="39"/>
      <c r="Q32" s="12"/>
      <c r="R32" s="43" t="s">
        <v>31</v>
      </c>
      <c r="S32" s="13"/>
      <c r="T32" s="12"/>
      <c r="U32" s="43" t="s">
        <v>31</v>
      </c>
      <c r="V32" s="13"/>
      <c r="W32" s="12"/>
      <c r="X32" s="43" t="s">
        <v>31</v>
      </c>
      <c r="Y32" s="13"/>
      <c r="Z32" s="2"/>
      <c r="AA32" s="2"/>
    </row>
    <row r="33" spans="2:27" ht="12.75">
      <c r="B33" s="56" t="s">
        <v>11</v>
      </c>
      <c r="C33" s="58" t="s">
        <v>40</v>
      </c>
      <c r="D33" s="58" t="s">
        <v>32</v>
      </c>
      <c r="E33" s="58" t="s">
        <v>46</v>
      </c>
      <c r="F33" s="58" t="s">
        <v>33</v>
      </c>
      <c r="G33" s="58" t="s">
        <v>17</v>
      </c>
      <c r="H33" s="57" t="s">
        <v>125</v>
      </c>
      <c r="I33" s="58" t="s">
        <v>36</v>
      </c>
      <c r="J33" s="58" t="s">
        <v>42</v>
      </c>
      <c r="K33" s="59" t="s">
        <v>18</v>
      </c>
      <c r="L33" s="63"/>
      <c r="M33" s="57" t="s">
        <v>37</v>
      </c>
      <c r="N33" s="58" t="s">
        <v>22</v>
      </c>
      <c r="O33" s="58" t="s">
        <v>23</v>
      </c>
      <c r="P33" s="60" t="s">
        <v>38</v>
      </c>
      <c r="Q33" s="61" t="s">
        <v>22</v>
      </c>
      <c r="R33" s="62" t="s">
        <v>23</v>
      </c>
      <c r="S33" s="60" t="s">
        <v>38</v>
      </c>
      <c r="T33" s="61" t="s">
        <v>25</v>
      </c>
      <c r="U33" s="62" t="s">
        <v>26</v>
      </c>
      <c r="V33" s="60" t="s">
        <v>47</v>
      </c>
      <c r="W33" s="61" t="s">
        <v>25</v>
      </c>
      <c r="X33" s="62" t="s">
        <v>26</v>
      </c>
      <c r="Y33" s="60" t="s">
        <v>47</v>
      </c>
      <c r="Z33" s="24"/>
      <c r="AA33" s="24"/>
    </row>
    <row r="34" spans="2:27" ht="12.75">
      <c r="B34" s="14" t="s">
        <v>12</v>
      </c>
      <c r="C34" s="15">
        <f>'100% mortgage'!C34-'no mortgage'!C34</f>
        <v>0</v>
      </c>
      <c r="D34" s="16" t="s">
        <v>43</v>
      </c>
      <c r="E34" s="15">
        <f>'100% mortgage'!E34-'no mortgage'!E34</f>
        <v>0</v>
      </c>
      <c r="F34" s="15">
        <f>'100% mortgage'!F34-'no mortgage'!F34</f>
        <v>3000</v>
      </c>
      <c r="G34" s="15">
        <f>'100% mortgage'!G34-'no mortgage'!G34</f>
        <v>0</v>
      </c>
      <c r="H34" s="80">
        <f aca="true" t="shared" si="14" ref="H34:H53">SUM(C34:G34)</f>
        <v>3000</v>
      </c>
      <c r="I34" s="15">
        <f aca="true" t="shared" si="15" ref="I34:I53">SUM(C34:F34)</f>
        <v>3000</v>
      </c>
      <c r="J34" s="15">
        <f aca="true" t="shared" si="16" ref="J34:J53">SUM(C34:E34)</f>
        <v>0</v>
      </c>
      <c r="K34" s="83">
        <v>0.2</v>
      </c>
      <c r="L34" s="4"/>
      <c r="M34" s="35">
        <f aca="true" t="shared" si="17" ref="M34:M53">H34/250000</f>
        <v>0.012</v>
      </c>
      <c r="N34" s="33">
        <f aca="true" t="shared" si="18" ref="N34:N53">G34/250000</f>
        <v>0</v>
      </c>
      <c r="O34" s="33">
        <f aca="true" t="shared" si="19" ref="O34:O53">F34/250000</f>
        <v>0.012</v>
      </c>
      <c r="P34" s="36">
        <f aca="true" t="shared" si="20" ref="P34:P53">J34/250000</f>
        <v>0</v>
      </c>
      <c r="Q34" s="26">
        <f aca="true" t="shared" si="21" ref="Q34:Q53">G34/H34</f>
        <v>0</v>
      </c>
      <c r="R34" s="27">
        <f aca="true" t="shared" si="22" ref="R34:R53">F34/H34</f>
        <v>1</v>
      </c>
      <c r="S34" s="28">
        <f aca="true" t="shared" si="23" ref="S34:S53">J34/H34</f>
        <v>0</v>
      </c>
      <c r="T34" s="26"/>
      <c r="U34" s="27"/>
      <c r="V34" s="28"/>
      <c r="W34" s="26">
        <f aca="true" t="shared" si="24" ref="W34:W42">C34/250000</f>
        <v>0</v>
      </c>
      <c r="X34" s="27"/>
      <c r="Y34" s="28">
        <f aca="true" t="shared" si="25" ref="Y34:Y53">E34/250000</f>
        <v>0</v>
      </c>
      <c r="Z34" s="27"/>
      <c r="AA34" s="27"/>
    </row>
    <row r="35" spans="2:27" ht="15.75">
      <c r="B35" s="14" t="s">
        <v>13</v>
      </c>
      <c r="C35" s="15">
        <f>'100% mortgage'!C35-'no mortgage'!C35</f>
        <v>0</v>
      </c>
      <c r="D35" s="16" t="s">
        <v>43</v>
      </c>
      <c r="E35" s="15">
        <f>'100% mortgage'!E35-'no mortgage'!E35</f>
        <v>904.04</v>
      </c>
      <c r="F35" s="15">
        <f>'100% mortgage'!F35-'no mortgage'!F35</f>
        <v>450</v>
      </c>
      <c r="G35" s="15">
        <f>'100% mortgage'!G35-'no mortgage'!G35</f>
        <v>2750</v>
      </c>
      <c r="H35" s="81">
        <f t="shared" si="14"/>
        <v>4104.04</v>
      </c>
      <c r="I35" s="15">
        <f t="shared" si="15"/>
        <v>1354.04</v>
      </c>
      <c r="J35" s="15">
        <f t="shared" si="16"/>
        <v>904.04</v>
      </c>
      <c r="K35" s="84"/>
      <c r="L35" s="5"/>
      <c r="M35" s="35">
        <f t="shared" si="17"/>
        <v>0.01641616</v>
      </c>
      <c r="N35" s="33">
        <f t="shared" si="18"/>
        <v>0.011</v>
      </c>
      <c r="O35" s="33">
        <f t="shared" si="19"/>
        <v>0.0018</v>
      </c>
      <c r="P35" s="36">
        <f t="shared" si="20"/>
        <v>0.0036161599999999998</v>
      </c>
      <c r="Q35" s="26">
        <f t="shared" si="21"/>
        <v>0.6700714417988128</v>
      </c>
      <c r="R35" s="27">
        <f t="shared" si="22"/>
        <v>0.10964805411253302</v>
      </c>
      <c r="S35" s="28">
        <f t="shared" si="23"/>
        <v>0.2202805040886541</v>
      </c>
      <c r="T35" s="26">
        <f aca="true" t="shared" si="26" ref="T35:T52">C35/J35</f>
        <v>0</v>
      </c>
      <c r="U35" s="27"/>
      <c r="V35" s="28">
        <f aca="true" t="shared" si="27" ref="V35:V52">E35/J35</f>
        <v>1</v>
      </c>
      <c r="W35" s="26">
        <f t="shared" si="24"/>
        <v>0</v>
      </c>
      <c r="X35" s="27"/>
      <c r="Y35" s="28">
        <f t="shared" si="25"/>
        <v>0.0036161599999999998</v>
      </c>
      <c r="Z35" s="27"/>
      <c r="AA35" s="27"/>
    </row>
    <row r="36" spans="2:30" ht="15.75">
      <c r="B36" s="14" t="s">
        <v>154</v>
      </c>
      <c r="C36" s="15">
        <f>'100% mortgage'!C36-'no mortgage'!C36</f>
        <v>0</v>
      </c>
      <c r="D36" s="15">
        <f>'100% mortgage'!D36-'no mortgage'!D36</f>
        <v>0</v>
      </c>
      <c r="E36" s="15">
        <f>'100% mortgage'!E36-'no mortgage'!E36</f>
        <v>500</v>
      </c>
      <c r="F36" s="15">
        <f>'100% mortgage'!F36-'no mortgage'!F36</f>
        <v>0</v>
      </c>
      <c r="G36" s="15">
        <f>'100% mortgage'!G36-'no mortgage'!G36</f>
        <v>0</v>
      </c>
      <c r="H36" s="81">
        <f t="shared" si="14"/>
        <v>500</v>
      </c>
      <c r="I36" s="15">
        <f t="shared" si="15"/>
        <v>500</v>
      </c>
      <c r="J36" s="15">
        <f t="shared" si="16"/>
        <v>500</v>
      </c>
      <c r="K36" s="84">
        <v>0.19</v>
      </c>
      <c r="L36" s="5"/>
      <c r="M36" s="35">
        <f t="shared" si="17"/>
        <v>0.002</v>
      </c>
      <c r="N36" s="33">
        <f t="shared" si="18"/>
        <v>0</v>
      </c>
      <c r="O36" s="33">
        <f t="shared" si="19"/>
        <v>0</v>
      </c>
      <c r="P36" s="36">
        <f t="shared" si="20"/>
        <v>0.002</v>
      </c>
      <c r="Q36" s="26"/>
      <c r="R36" s="27"/>
      <c r="S36" s="28"/>
      <c r="T36" s="26"/>
      <c r="U36" s="27"/>
      <c r="V36" s="28"/>
      <c r="W36" s="74">
        <f t="shared" si="24"/>
        <v>0</v>
      </c>
      <c r="X36" s="27">
        <f>D36/250000</f>
        <v>0</v>
      </c>
      <c r="Y36" s="45">
        <f t="shared" si="25"/>
        <v>0.002</v>
      </c>
      <c r="Z36" s="27"/>
      <c r="AA36" s="26"/>
      <c r="AB36" s="27"/>
      <c r="AC36" s="27"/>
      <c r="AD36" s="2"/>
    </row>
    <row r="37" spans="2:27" ht="15.75">
      <c r="B37" s="12" t="s">
        <v>14</v>
      </c>
      <c r="C37" s="15">
        <f>'100% mortgage'!C37-'no mortgage'!C37</f>
        <v>0</v>
      </c>
      <c r="D37" s="15">
        <f>'100% mortgage'!D37-'no mortgage'!D37</f>
        <v>0</v>
      </c>
      <c r="E37" s="15">
        <f>'100% mortgage'!E37-'no mortgage'!E37</f>
        <v>0</v>
      </c>
      <c r="F37" s="15">
        <f>'100% mortgage'!F37-'no mortgage'!F37</f>
        <v>3937</v>
      </c>
      <c r="G37" s="15">
        <f>'100% mortgage'!G37-'no mortgage'!G37</f>
        <v>0</v>
      </c>
      <c r="H37" s="81">
        <f t="shared" si="14"/>
        <v>3937</v>
      </c>
      <c r="I37" s="15">
        <f t="shared" si="15"/>
        <v>3937</v>
      </c>
      <c r="J37" s="15">
        <f t="shared" si="16"/>
        <v>0</v>
      </c>
      <c r="K37" s="84">
        <v>0.25</v>
      </c>
      <c r="L37" s="5"/>
      <c r="M37" s="35">
        <f t="shared" si="17"/>
        <v>0.015748</v>
      </c>
      <c r="N37" s="33">
        <f t="shared" si="18"/>
        <v>0</v>
      </c>
      <c r="O37" s="33">
        <f t="shared" si="19"/>
        <v>0.015748</v>
      </c>
      <c r="P37" s="36">
        <f t="shared" si="20"/>
        <v>0</v>
      </c>
      <c r="Q37" s="26">
        <f t="shared" si="21"/>
        <v>0</v>
      </c>
      <c r="R37" s="27">
        <f t="shared" si="22"/>
        <v>1</v>
      </c>
      <c r="S37" s="28">
        <f t="shared" si="23"/>
        <v>0</v>
      </c>
      <c r="T37" s="44"/>
      <c r="U37" s="27"/>
      <c r="V37" s="45"/>
      <c r="W37" s="44">
        <f t="shared" si="24"/>
        <v>0</v>
      </c>
      <c r="X37" s="27">
        <f>D37/250000</f>
        <v>0</v>
      </c>
      <c r="Y37" s="45">
        <f t="shared" si="25"/>
        <v>0</v>
      </c>
      <c r="Z37" s="55"/>
      <c r="AA37" s="55"/>
    </row>
    <row r="38" spans="2:27" ht="15.75">
      <c r="B38" s="12" t="s">
        <v>0</v>
      </c>
      <c r="C38" s="15">
        <f>'100% mortgage'!C38-'no mortgage'!C38</f>
        <v>0</v>
      </c>
      <c r="D38" s="15">
        <f>'100% mortgage'!D38-'no mortgage'!D38</f>
        <v>225</v>
      </c>
      <c r="E38" s="15">
        <f>'100% mortgage'!E38-'no mortgage'!E38</f>
        <v>250</v>
      </c>
      <c r="F38" s="15">
        <f>'100% mortgage'!F38-'no mortgage'!F38</f>
        <v>0</v>
      </c>
      <c r="G38" s="15">
        <f>'100% mortgage'!G38-'no mortgage'!G38</f>
        <v>0</v>
      </c>
      <c r="H38" s="81">
        <f t="shared" si="14"/>
        <v>475</v>
      </c>
      <c r="I38" s="15">
        <f t="shared" si="15"/>
        <v>475</v>
      </c>
      <c r="J38" s="15">
        <f t="shared" si="16"/>
        <v>475</v>
      </c>
      <c r="K38" s="84">
        <v>0.175</v>
      </c>
      <c r="L38" s="5"/>
      <c r="M38" s="35">
        <f t="shared" si="17"/>
        <v>0.0019</v>
      </c>
      <c r="N38" s="33">
        <f t="shared" si="18"/>
        <v>0</v>
      </c>
      <c r="O38" s="33">
        <f t="shared" si="19"/>
        <v>0</v>
      </c>
      <c r="P38" s="36">
        <f t="shared" si="20"/>
        <v>0.0019</v>
      </c>
      <c r="Q38" s="26">
        <f t="shared" si="21"/>
        <v>0</v>
      </c>
      <c r="R38" s="27">
        <f t="shared" si="22"/>
        <v>0</v>
      </c>
      <c r="S38" s="28">
        <f t="shared" si="23"/>
        <v>1</v>
      </c>
      <c r="T38" s="26">
        <f t="shared" si="26"/>
        <v>0</v>
      </c>
      <c r="U38" s="27">
        <f>D38/J38</f>
        <v>0.47368421052631576</v>
      </c>
      <c r="V38" s="28">
        <f t="shared" si="27"/>
        <v>0.5263157894736842</v>
      </c>
      <c r="W38" s="26">
        <f t="shared" si="24"/>
        <v>0</v>
      </c>
      <c r="X38" s="27">
        <f>D38/250000</f>
        <v>0.0009</v>
      </c>
      <c r="Y38" s="28">
        <f t="shared" si="25"/>
        <v>0.001</v>
      </c>
      <c r="Z38" s="27"/>
      <c r="AA38" s="27"/>
    </row>
    <row r="39" spans="2:27" ht="15.75">
      <c r="B39" s="12" t="s">
        <v>1</v>
      </c>
      <c r="C39" s="15">
        <f>'100% mortgage'!C39-'no mortgage'!C39</f>
        <v>0</v>
      </c>
      <c r="D39" s="15">
        <f>'100% mortgage'!D39-'no mortgage'!D39</f>
        <v>0</v>
      </c>
      <c r="E39" s="15">
        <f>'100% mortgage'!E39-'no mortgage'!E39</f>
        <v>353.2</v>
      </c>
      <c r="F39" s="15">
        <f>'100% mortgage'!F39-'no mortgage'!F39</f>
        <v>44</v>
      </c>
      <c r="G39" s="15">
        <f>'100% mortgage'!G39-'no mortgage'!G39</f>
        <v>0</v>
      </c>
      <c r="H39" s="81">
        <f t="shared" si="14"/>
        <v>397.2</v>
      </c>
      <c r="I39" s="15">
        <f t="shared" si="15"/>
        <v>397.2</v>
      </c>
      <c r="J39" s="15">
        <f t="shared" si="16"/>
        <v>353.2</v>
      </c>
      <c r="K39" s="84"/>
      <c r="L39" s="5"/>
      <c r="M39" s="35">
        <f t="shared" si="17"/>
        <v>0.0015888</v>
      </c>
      <c r="N39" s="33">
        <f t="shared" si="18"/>
        <v>0</v>
      </c>
      <c r="O39" s="33">
        <f t="shared" si="19"/>
        <v>0.000176</v>
      </c>
      <c r="P39" s="36">
        <f t="shared" si="20"/>
        <v>0.0014127999999999999</v>
      </c>
      <c r="Q39" s="26">
        <f t="shared" si="21"/>
        <v>0</v>
      </c>
      <c r="R39" s="27">
        <f t="shared" si="22"/>
        <v>0.1107754279959718</v>
      </c>
      <c r="S39" s="28">
        <f t="shared" si="23"/>
        <v>0.8892245720040282</v>
      </c>
      <c r="T39" s="44">
        <f t="shared" si="26"/>
        <v>0</v>
      </c>
      <c r="U39" s="27">
        <f>D39/J39</f>
        <v>0</v>
      </c>
      <c r="V39" s="45">
        <f t="shared" si="27"/>
        <v>1</v>
      </c>
      <c r="W39" s="44">
        <f t="shared" si="24"/>
        <v>0</v>
      </c>
      <c r="X39" s="27">
        <f>D39/250000</f>
        <v>0</v>
      </c>
      <c r="Y39" s="45">
        <f t="shared" si="25"/>
        <v>0.0014127999999999999</v>
      </c>
      <c r="Z39" s="55"/>
      <c r="AA39" s="55"/>
    </row>
    <row r="40" spans="2:27" ht="15.75">
      <c r="B40" s="12" t="s">
        <v>2</v>
      </c>
      <c r="C40" s="15">
        <f>'100% mortgage'!C40-'no mortgage'!C40</f>
        <v>0</v>
      </c>
      <c r="D40" s="15">
        <f>'100% mortgage'!D40-'no mortgage'!D40</f>
        <v>0</v>
      </c>
      <c r="E40" s="15">
        <f>'100% mortgage'!E40-'no mortgage'!E40</f>
        <v>797</v>
      </c>
      <c r="F40" s="15">
        <f>'100% mortgage'!F40-'no mortgage'!F40</f>
        <v>125</v>
      </c>
      <c r="G40" s="15">
        <f>'100% mortgage'!G40-'no mortgage'!G40</f>
        <v>0</v>
      </c>
      <c r="H40" s="81">
        <f t="shared" si="14"/>
        <v>922</v>
      </c>
      <c r="I40" s="15">
        <f t="shared" si="15"/>
        <v>922</v>
      </c>
      <c r="J40" s="15">
        <f t="shared" si="16"/>
        <v>797</v>
      </c>
      <c r="K40" s="84">
        <v>0.196</v>
      </c>
      <c r="L40" s="5"/>
      <c r="M40" s="35">
        <f t="shared" si="17"/>
        <v>0.003688</v>
      </c>
      <c r="N40" s="33">
        <f t="shared" si="18"/>
        <v>0</v>
      </c>
      <c r="O40" s="33">
        <f t="shared" si="19"/>
        <v>0.0005</v>
      </c>
      <c r="P40" s="36">
        <f t="shared" si="20"/>
        <v>0.003188</v>
      </c>
      <c r="Q40" s="26">
        <f t="shared" si="21"/>
        <v>0</v>
      </c>
      <c r="R40" s="27">
        <f t="shared" si="22"/>
        <v>0.13557483731019523</v>
      </c>
      <c r="S40" s="28">
        <f t="shared" si="23"/>
        <v>0.8644251626898047</v>
      </c>
      <c r="T40" s="26">
        <f t="shared" si="26"/>
        <v>0</v>
      </c>
      <c r="U40" s="27">
        <f>D40/J40</f>
        <v>0</v>
      </c>
      <c r="V40" s="28">
        <f t="shared" si="27"/>
        <v>1</v>
      </c>
      <c r="W40" s="26">
        <f t="shared" si="24"/>
        <v>0</v>
      </c>
      <c r="X40" s="27">
        <f>D40/250000</f>
        <v>0</v>
      </c>
      <c r="Y40" s="28">
        <f t="shared" si="25"/>
        <v>0.003188</v>
      </c>
      <c r="Z40" s="27"/>
      <c r="AA40" s="27"/>
    </row>
    <row r="41" spans="2:27" ht="15.75">
      <c r="B41" s="12" t="s">
        <v>3</v>
      </c>
      <c r="C41" s="15">
        <f>'100% mortgage'!C41-'no mortgage'!C41</f>
        <v>0</v>
      </c>
      <c r="D41" s="16" t="s">
        <v>43</v>
      </c>
      <c r="E41" s="15">
        <f>'100% mortgage'!E41-'no mortgage'!E41</f>
        <v>455</v>
      </c>
      <c r="F41" s="15">
        <f>'100% mortgage'!F41-'no mortgage'!F41</f>
        <v>432</v>
      </c>
      <c r="G41" s="15">
        <f>'100% mortgage'!G41-'no mortgage'!G41</f>
        <v>0</v>
      </c>
      <c r="H41" s="81">
        <f t="shared" si="14"/>
        <v>887</v>
      </c>
      <c r="I41" s="15">
        <f t="shared" si="15"/>
        <v>887</v>
      </c>
      <c r="J41" s="15">
        <f t="shared" si="16"/>
        <v>455</v>
      </c>
      <c r="K41" s="84">
        <v>0.16</v>
      </c>
      <c r="L41" s="5"/>
      <c r="M41" s="35">
        <f t="shared" si="17"/>
        <v>0.003548</v>
      </c>
      <c r="N41" s="33">
        <f t="shared" si="18"/>
        <v>0</v>
      </c>
      <c r="O41" s="33">
        <f t="shared" si="19"/>
        <v>0.001728</v>
      </c>
      <c r="P41" s="36">
        <f t="shared" si="20"/>
        <v>0.00182</v>
      </c>
      <c r="Q41" s="26">
        <f t="shared" si="21"/>
        <v>0</v>
      </c>
      <c r="R41" s="27">
        <f t="shared" si="22"/>
        <v>0.48703494926719276</v>
      </c>
      <c r="S41" s="28">
        <f t="shared" si="23"/>
        <v>0.5129650507328072</v>
      </c>
      <c r="T41" s="26">
        <f t="shared" si="26"/>
        <v>0</v>
      </c>
      <c r="U41" s="27"/>
      <c r="V41" s="28">
        <f t="shared" si="27"/>
        <v>1</v>
      </c>
      <c r="W41" s="26">
        <f t="shared" si="24"/>
        <v>0</v>
      </c>
      <c r="X41" s="27"/>
      <c r="Y41" s="28">
        <f t="shared" si="25"/>
        <v>0.00182</v>
      </c>
      <c r="Z41" s="27"/>
      <c r="AA41" s="27"/>
    </row>
    <row r="42" spans="2:27" ht="15.75">
      <c r="B42" s="12" t="s">
        <v>15</v>
      </c>
      <c r="C42" s="15">
        <f>'100% mortgage'!C42-'no mortgage'!C42</f>
        <v>0</v>
      </c>
      <c r="D42" s="15">
        <f>'100% mortgage'!D42-'no mortgage'!D42</f>
        <v>0</v>
      </c>
      <c r="E42" s="15">
        <f>'100% mortgage'!E42-'no mortgage'!E42</f>
        <v>500</v>
      </c>
      <c r="F42" s="15">
        <f>'100% mortgage'!F42-'no mortgage'!F42</f>
        <v>1950</v>
      </c>
      <c r="G42" s="15">
        <f>'100% mortgage'!G42-'no mortgage'!G42</f>
        <v>0</v>
      </c>
      <c r="H42" s="81">
        <f t="shared" si="14"/>
        <v>2450</v>
      </c>
      <c r="I42" s="15">
        <f t="shared" si="15"/>
        <v>2450</v>
      </c>
      <c r="J42" s="15">
        <f t="shared" si="16"/>
        <v>500</v>
      </c>
      <c r="K42" s="84">
        <v>0.19</v>
      </c>
      <c r="L42" s="5"/>
      <c r="M42" s="35">
        <f t="shared" si="17"/>
        <v>0.0098</v>
      </c>
      <c r="N42" s="33">
        <f t="shared" si="18"/>
        <v>0</v>
      </c>
      <c r="O42" s="33">
        <f t="shared" si="19"/>
        <v>0.0078</v>
      </c>
      <c r="P42" s="36">
        <f t="shared" si="20"/>
        <v>0.002</v>
      </c>
      <c r="Q42" s="26">
        <f t="shared" si="21"/>
        <v>0</v>
      </c>
      <c r="R42" s="27">
        <f t="shared" si="22"/>
        <v>0.7959183673469388</v>
      </c>
      <c r="S42" s="28">
        <f t="shared" si="23"/>
        <v>0.20408163265306123</v>
      </c>
      <c r="T42" s="26">
        <f t="shared" si="26"/>
        <v>0</v>
      </c>
      <c r="U42" s="27">
        <f>D42/J42</f>
        <v>0</v>
      </c>
      <c r="V42" s="28">
        <f t="shared" si="27"/>
        <v>1</v>
      </c>
      <c r="W42" s="26">
        <f t="shared" si="24"/>
        <v>0</v>
      </c>
      <c r="X42" s="27">
        <f>D42/250000</f>
        <v>0</v>
      </c>
      <c r="Y42" s="28">
        <f t="shared" si="25"/>
        <v>0.002</v>
      </c>
      <c r="Z42" s="27"/>
      <c r="AA42" s="27"/>
    </row>
    <row r="43" spans="2:27" ht="15.75">
      <c r="B43" s="12" t="s">
        <v>19</v>
      </c>
      <c r="C43" s="15">
        <f>'100% mortgage'!C43-'no mortgage'!C43</f>
        <v>0</v>
      </c>
      <c r="D43" s="16" t="s">
        <v>43</v>
      </c>
      <c r="E43" s="15">
        <f>'100% mortgage'!E43-'no mortgage'!E43</f>
        <v>1670</v>
      </c>
      <c r="F43" s="15">
        <f>'100% mortgage'!F43-'no mortgage'!F43</f>
        <v>44</v>
      </c>
      <c r="G43" s="15">
        <f>'100% mortgage'!G43-'no mortgage'!G43</f>
        <v>0</v>
      </c>
      <c r="H43" s="81">
        <f t="shared" si="14"/>
        <v>1714</v>
      </c>
      <c r="I43" s="15">
        <f t="shared" si="15"/>
        <v>1714</v>
      </c>
      <c r="J43" s="15">
        <f t="shared" si="16"/>
        <v>1670</v>
      </c>
      <c r="K43" s="84">
        <v>0.2</v>
      </c>
      <c r="L43" s="5"/>
      <c r="M43" s="35">
        <f t="shared" si="17"/>
        <v>0.006856</v>
      </c>
      <c r="N43" s="33">
        <f t="shared" si="18"/>
        <v>0</v>
      </c>
      <c r="O43" s="33">
        <f t="shared" si="19"/>
        <v>0.000176</v>
      </c>
      <c r="P43" s="36">
        <f t="shared" si="20"/>
        <v>0.00668</v>
      </c>
      <c r="Q43" s="26">
        <f t="shared" si="21"/>
        <v>0</v>
      </c>
      <c r="R43" s="27">
        <f t="shared" si="22"/>
        <v>0.025670945157526253</v>
      </c>
      <c r="S43" s="28">
        <f t="shared" si="23"/>
        <v>0.9743290548424738</v>
      </c>
      <c r="T43" s="26">
        <f t="shared" si="26"/>
        <v>0</v>
      </c>
      <c r="U43" s="27"/>
      <c r="V43" s="28">
        <f t="shared" si="27"/>
        <v>1</v>
      </c>
      <c r="W43" s="26"/>
      <c r="X43" s="27"/>
      <c r="Y43" s="28">
        <f t="shared" si="25"/>
        <v>0.00668</v>
      </c>
      <c r="Z43" s="27"/>
      <c r="AA43" s="27"/>
    </row>
    <row r="44" spans="2:27" ht="15.75">
      <c r="B44" s="12" t="s">
        <v>4</v>
      </c>
      <c r="C44" s="15">
        <f>'100% mortgage'!C44-'no mortgage'!C44</f>
        <v>0</v>
      </c>
      <c r="D44" s="15">
        <f>'100% mortgage'!D44-'no mortgage'!D44</f>
        <v>200</v>
      </c>
      <c r="E44" s="15">
        <f>'100% mortgage'!E44-'no mortgage'!E44</f>
        <v>0</v>
      </c>
      <c r="F44" s="15">
        <f>'100% mortgage'!F44-'no mortgage'!F44</f>
        <v>0</v>
      </c>
      <c r="G44" s="15">
        <f>'100% mortgage'!G44-'no mortgage'!G44</f>
        <v>0</v>
      </c>
      <c r="H44" s="81">
        <f t="shared" si="14"/>
        <v>200</v>
      </c>
      <c r="I44" s="15">
        <f t="shared" si="15"/>
        <v>200</v>
      </c>
      <c r="J44" s="15">
        <f t="shared" si="16"/>
        <v>200</v>
      </c>
      <c r="K44" s="84">
        <v>0.21</v>
      </c>
      <c r="L44" s="5"/>
      <c r="M44" s="35">
        <f t="shared" si="17"/>
        <v>0.0008</v>
      </c>
      <c r="N44" s="33">
        <f t="shared" si="18"/>
        <v>0</v>
      </c>
      <c r="O44" s="33">
        <f t="shared" si="19"/>
        <v>0</v>
      </c>
      <c r="P44" s="36">
        <f t="shared" si="20"/>
        <v>0.0008</v>
      </c>
      <c r="Q44" s="26">
        <f t="shared" si="21"/>
        <v>0</v>
      </c>
      <c r="R44" s="27">
        <f t="shared" si="22"/>
        <v>0</v>
      </c>
      <c r="S44" s="28">
        <f t="shared" si="23"/>
        <v>1</v>
      </c>
      <c r="T44" s="26">
        <f t="shared" si="26"/>
        <v>0</v>
      </c>
      <c r="U44" s="27">
        <f>D44/J44</f>
        <v>1</v>
      </c>
      <c r="V44" s="28">
        <f t="shared" si="27"/>
        <v>0</v>
      </c>
      <c r="W44" s="26">
        <f>C44/250000</f>
        <v>0</v>
      </c>
      <c r="X44" s="27">
        <f>D44/250000</f>
        <v>0.0008</v>
      </c>
      <c r="Y44" s="28">
        <f t="shared" si="25"/>
        <v>0</v>
      </c>
      <c r="Z44" s="27"/>
      <c r="AA44" s="27"/>
    </row>
    <row r="45" spans="2:27" ht="15.75">
      <c r="B45" s="12" t="s">
        <v>5</v>
      </c>
      <c r="C45" s="15">
        <f>'100% mortgage'!C45-'no mortgage'!C45</f>
        <v>0</v>
      </c>
      <c r="D45" s="16" t="s">
        <v>43</v>
      </c>
      <c r="E45" s="15">
        <f>'100% mortgage'!E45-'no mortgage'!E45</f>
        <v>1850</v>
      </c>
      <c r="F45" s="15">
        <f>'100% mortgage'!F45-'no mortgage'!F45</f>
        <v>34.71000000000001</v>
      </c>
      <c r="G45" s="15">
        <f>'100% mortgage'!G45-'no mortgage'!G45</f>
        <v>168</v>
      </c>
      <c r="H45" s="81">
        <f t="shared" si="14"/>
        <v>2052.71</v>
      </c>
      <c r="I45" s="15">
        <f t="shared" si="15"/>
        <v>1884.71</v>
      </c>
      <c r="J45" s="15">
        <f t="shared" si="16"/>
        <v>1850</v>
      </c>
      <c r="K45" s="84">
        <v>0.2</v>
      </c>
      <c r="L45" s="5"/>
      <c r="M45" s="35">
        <f t="shared" si="17"/>
        <v>0.00821084</v>
      </c>
      <c r="N45" s="33">
        <f t="shared" si="18"/>
        <v>0.000672</v>
      </c>
      <c r="O45" s="33">
        <f t="shared" si="19"/>
        <v>0.00013884000000000002</v>
      </c>
      <c r="P45" s="36">
        <f t="shared" si="20"/>
        <v>0.0074</v>
      </c>
      <c r="Q45" s="26">
        <f t="shared" si="21"/>
        <v>0.08184302702281374</v>
      </c>
      <c r="R45" s="27">
        <f t="shared" si="22"/>
        <v>0.016909353975963486</v>
      </c>
      <c r="S45" s="28">
        <f t="shared" si="23"/>
        <v>0.9012476190012227</v>
      </c>
      <c r="T45" s="26">
        <f t="shared" si="26"/>
        <v>0</v>
      </c>
      <c r="U45" s="27"/>
      <c r="V45" s="28">
        <f t="shared" si="27"/>
        <v>1</v>
      </c>
      <c r="W45" s="26">
        <f aca="true" t="shared" si="28" ref="W45:W53">C45/250000</f>
        <v>0</v>
      </c>
      <c r="X45" s="27"/>
      <c r="Y45" s="28">
        <f t="shared" si="25"/>
        <v>0.0074</v>
      </c>
      <c r="Z45" s="27"/>
      <c r="AA45" s="27"/>
    </row>
    <row r="46" spans="2:27" ht="15.75">
      <c r="B46" s="12" t="s">
        <v>6</v>
      </c>
      <c r="C46" s="15">
        <f>'100% mortgage'!C46-'no mortgage'!C46</f>
        <v>0</v>
      </c>
      <c r="D46" s="16" t="s">
        <v>43</v>
      </c>
      <c r="E46" s="15">
        <f>'100% mortgage'!E46-'no mortgage'!E46</f>
        <v>657</v>
      </c>
      <c r="F46" s="15">
        <f>'100% mortgage'!F46-'no mortgage'!F46</f>
        <v>73</v>
      </c>
      <c r="G46" s="15">
        <f>'100% mortgage'!G46-'no mortgage'!G46</f>
        <v>0</v>
      </c>
      <c r="H46" s="81">
        <f t="shared" si="14"/>
        <v>730</v>
      </c>
      <c r="I46" s="15">
        <f t="shared" si="15"/>
        <v>730</v>
      </c>
      <c r="J46" s="15">
        <f t="shared" si="16"/>
        <v>657</v>
      </c>
      <c r="K46" s="84">
        <v>0.19</v>
      </c>
      <c r="L46" s="5"/>
      <c r="M46" s="35">
        <f t="shared" si="17"/>
        <v>0.00292</v>
      </c>
      <c r="N46" s="33">
        <f t="shared" si="18"/>
        <v>0</v>
      </c>
      <c r="O46" s="33">
        <f t="shared" si="19"/>
        <v>0.000292</v>
      </c>
      <c r="P46" s="36">
        <f t="shared" si="20"/>
        <v>0.002628</v>
      </c>
      <c r="Q46" s="26">
        <f t="shared" si="21"/>
        <v>0</v>
      </c>
      <c r="R46" s="27">
        <f t="shared" si="22"/>
        <v>0.1</v>
      </c>
      <c r="S46" s="28">
        <f t="shared" si="23"/>
        <v>0.9</v>
      </c>
      <c r="T46" s="26">
        <f t="shared" si="26"/>
        <v>0</v>
      </c>
      <c r="U46" s="27"/>
      <c r="V46" s="28">
        <f t="shared" si="27"/>
        <v>1</v>
      </c>
      <c r="W46" s="26">
        <f t="shared" si="28"/>
        <v>0</v>
      </c>
      <c r="X46" s="27"/>
      <c r="Y46" s="28">
        <f t="shared" si="25"/>
        <v>0.002628</v>
      </c>
      <c r="Z46" s="27"/>
      <c r="AA46" s="27"/>
    </row>
    <row r="47" spans="2:27" ht="15.75">
      <c r="B47" s="12" t="s">
        <v>7</v>
      </c>
      <c r="C47" s="15">
        <f>'100% mortgage'!C47-'no mortgage'!C47</f>
        <v>0</v>
      </c>
      <c r="D47" s="15">
        <f>'100% mortgage'!D47</f>
        <v>250</v>
      </c>
      <c r="E47" s="15">
        <f>'100% mortgage'!E47-'no mortgage'!E47</f>
        <v>0</v>
      </c>
      <c r="F47" s="15">
        <f>'100% mortgage'!F47-'no mortgage'!F47</f>
        <v>0</v>
      </c>
      <c r="G47" s="15">
        <f>'100% mortgage'!G47-'no mortgage'!G47</f>
        <v>5062</v>
      </c>
      <c r="H47" s="81">
        <f t="shared" si="14"/>
        <v>5312</v>
      </c>
      <c r="I47" s="15">
        <f t="shared" si="15"/>
        <v>250</v>
      </c>
      <c r="J47" s="15">
        <f t="shared" si="16"/>
        <v>250</v>
      </c>
      <c r="K47" s="84">
        <v>0.22</v>
      </c>
      <c r="L47" s="5"/>
      <c r="M47" s="35">
        <f t="shared" si="17"/>
        <v>0.021248</v>
      </c>
      <c r="N47" s="33">
        <f t="shared" si="18"/>
        <v>0.020248</v>
      </c>
      <c r="O47" s="33">
        <f t="shared" si="19"/>
        <v>0</v>
      </c>
      <c r="P47" s="36">
        <f t="shared" si="20"/>
        <v>0.001</v>
      </c>
      <c r="Q47" s="26">
        <f t="shared" si="21"/>
        <v>0.9529367469879518</v>
      </c>
      <c r="R47" s="27">
        <f t="shared" si="22"/>
        <v>0</v>
      </c>
      <c r="S47" s="28">
        <f t="shared" si="23"/>
        <v>0.047063253012048195</v>
      </c>
      <c r="T47" s="26">
        <f t="shared" si="26"/>
        <v>0</v>
      </c>
      <c r="U47" s="27">
        <f>D47/J47</f>
        <v>1</v>
      </c>
      <c r="V47" s="28">
        <f t="shared" si="27"/>
        <v>0</v>
      </c>
      <c r="W47" s="26">
        <f t="shared" si="28"/>
        <v>0</v>
      </c>
      <c r="X47" s="27">
        <f>D47/250000</f>
        <v>0.001</v>
      </c>
      <c r="Y47" s="28">
        <f t="shared" si="25"/>
        <v>0</v>
      </c>
      <c r="Z47" s="27"/>
      <c r="AA47" s="27"/>
    </row>
    <row r="48" spans="2:27" ht="15.75">
      <c r="B48" s="12" t="s">
        <v>189</v>
      </c>
      <c r="C48" s="15">
        <f>'100% mortgage'!C48-'no mortgage'!C48</f>
        <v>0</v>
      </c>
      <c r="D48" s="15">
        <f>'100% mortgage'!D48</f>
        <v>275</v>
      </c>
      <c r="E48" s="15">
        <f>'100% mortgage'!E48-'no mortgage'!E48</f>
        <v>136.35000000000002</v>
      </c>
      <c r="F48" s="15">
        <f>'100% mortgage'!F48-'no mortgage'!F48</f>
        <v>135</v>
      </c>
      <c r="G48" s="15">
        <f>'100% mortgage'!G48-'no mortgage'!G48</f>
        <v>1500</v>
      </c>
      <c r="H48" s="81">
        <f>SUM(C48:G48)</f>
        <v>2046.35</v>
      </c>
      <c r="I48" s="15">
        <f>SUM(C48:F48)</f>
        <v>546.35</v>
      </c>
      <c r="J48" s="15">
        <f>SUM(C48:E48)</f>
        <v>411.35</v>
      </c>
      <c r="K48" s="84">
        <v>0.21</v>
      </c>
      <c r="L48" s="5"/>
      <c r="M48" s="35">
        <f>H48/250000</f>
        <v>0.008185399999999999</v>
      </c>
      <c r="N48" s="33">
        <f>G48/250000</f>
        <v>0.006</v>
      </c>
      <c r="O48" s="33">
        <f>F48/250000</f>
        <v>0.00054</v>
      </c>
      <c r="P48" s="36">
        <f>J48/250000</f>
        <v>0.0016454</v>
      </c>
      <c r="Q48" s="26">
        <f>G48/H48</f>
        <v>0.7330124367776774</v>
      </c>
      <c r="R48" s="27">
        <f>F48/H48</f>
        <v>0.06597111930999096</v>
      </c>
      <c r="S48" s="28">
        <f>J48/H48</f>
        <v>0.20101644391233173</v>
      </c>
      <c r="T48" s="26">
        <f>C48/J48</f>
        <v>0</v>
      </c>
      <c r="U48" s="27">
        <f>D48/J48</f>
        <v>0.6685304485231555</v>
      </c>
      <c r="V48" s="28">
        <f>E48/J48</f>
        <v>0.3314695514768446</v>
      </c>
      <c r="W48" s="26">
        <f>C48/250000</f>
        <v>0</v>
      </c>
      <c r="X48" s="27">
        <f>D48/250000</f>
        <v>0.0011</v>
      </c>
      <c r="Y48" s="28">
        <f>E48/250000</f>
        <v>0.0005454000000000001</v>
      </c>
      <c r="Z48" s="27"/>
      <c r="AA48" s="27"/>
    </row>
    <row r="49" spans="2:27" ht="15.75">
      <c r="B49" s="19" t="s">
        <v>8</v>
      </c>
      <c r="C49" s="15">
        <f>'100% mortgage'!C49-'no mortgage'!C49</f>
        <v>0</v>
      </c>
      <c r="D49" s="15">
        <f>'100% mortgage'!D49-'no mortgage'!D49</f>
        <v>0</v>
      </c>
      <c r="E49" s="15">
        <f>'100% mortgage'!E49-'no mortgage'!E49</f>
        <v>149</v>
      </c>
      <c r="F49" s="15">
        <f>'100% mortgage'!F49-'no mortgage'!F49</f>
        <v>33</v>
      </c>
      <c r="G49" s="15">
        <f>'100% mortgage'!G49-'no mortgage'!G49</f>
        <v>0</v>
      </c>
      <c r="H49" s="81">
        <f t="shared" si="14"/>
        <v>182</v>
      </c>
      <c r="I49" s="15">
        <f t="shared" si="15"/>
        <v>182</v>
      </c>
      <c r="J49" s="15">
        <f t="shared" si="16"/>
        <v>149</v>
      </c>
      <c r="K49" s="84">
        <v>0.175</v>
      </c>
      <c r="L49" s="5"/>
      <c r="M49" s="35">
        <f t="shared" si="17"/>
        <v>0.000728</v>
      </c>
      <c r="N49" s="33">
        <f t="shared" si="18"/>
        <v>0</v>
      </c>
      <c r="O49" s="33">
        <f t="shared" si="19"/>
        <v>0.000132</v>
      </c>
      <c r="P49" s="36">
        <f t="shared" si="20"/>
        <v>0.000596</v>
      </c>
      <c r="Q49" s="26">
        <f t="shared" si="21"/>
        <v>0</v>
      </c>
      <c r="R49" s="27">
        <f t="shared" si="22"/>
        <v>0.1813186813186813</v>
      </c>
      <c r="S49" s="28">
        <f t="shared" si="23"/>
        <v>0.8186813186813187</v>
      </c>
      <c r="T49" s="26">
        <f t="shared" si="26"/>
        <v>0</v>
      </c>
      <c r="U49" s="27">
        <f>D49/J49</f>
        <v>0</v>
      </c>
      <c r="V49" s="28">
        <f t="shared" si="27"/>
        <v>1</v>
      </c>
      <c r="W49" s="26">
        <f t="shared" si="28"/>
        <v>0</v>
      </c>
      <c r="X49" s="27">
        <f>D49/250000</f>
        <v>0</v>
      </c>
      <c r="Y49" s="28">
        <f t="shared" si="25"/>
        <v>0.000596</v>
      </c>
      <c r="Z49" s="27"/>
      <c r="AA49" s="27"/>
    </row>
    <row r="50" spans="2:27" ht="15.75">
      <c r="B50" s="19" t="s">
        <v>188</v>
      </c>
      <c r="C50" s="15">
        <f>'100% mortgage'!C50-'no mortgage'!C50</f>
        <v>0</v>
      </c>
      <c r="D50" s="15">
        <f>'100% mortgage'!D50-'no mortgage'!D50</f>
        <v>0</v>
      </c>
      <c r="E50" s="15">
        <f>'100% mortgage'!E50-'no mortgage'!E50</f>
        <v>0</v>
      </c>
      <c r="F50" s="15">
        <f>'100% mortgage'!F50-'no mortgage'!F50</f>
        <v>0</v>
      </c>
      <c r="G50" s="15">
        <f>'100% mortgage'!G50-'no mortgage'!G50</f>
        <v>0</v>
      </c>
      <c r="H50" s="81">
        <f>SUM(C50:G50)</f>
        <v>0</v>
      </c>
      <c r="I50" s="15">
        <f>SUM(C50:F50)</f>
        <v>0</v>
      </c>
      <c r="J50" s="15">
        <f>SUM(C50:E50)</f>
        <v>0</v>
      </c>
      <c r="K50" s="84">
        <v>0.19</v>
      </c>
      <c r="L50" s="5"/>
      <c r="M50" s="35">
        <f>H50/250000</f>
        <v>0</v>
      </c>
      <c r="N50" s="33">
        <f>G50/250000</f>
        <v>0</v>
      </c>
      <c r="O50" s="33">
        <f>F50/250000</f>
        <v>0</v>
      </c>
      <c r="P50" s="36">
        <f>J50/250000</f>
        <v>0</v>
      </c>
      <c r="Q50" s="26"/>
      <c r="R50" s="27"/>
      <c r="S50" s="28"/>
      <c r="T50" s="26"/>
      <c r="U50" s="27"/>
      <c r="V50" s="28"/>
      <c r="W50" s="26">
        <f>C50/250000</f>
        <v>0</v>
      </c>
      <c r="X50" s="27">
        <f>D50/250000</f>
        <v>0</v>
      </c>
      <c r="Y50" s="28">
        <f>E50/250000</f>
        <v>0</v>
      </c>
      <c r="Z50" s="27"/>
      <c r="AA50" s="27"/>
    </row>
    <row r="51" spans="2:27" ht="15.75">
      <c r="B51" s="12" t="s">
        <v>16</v>
      </c>
      <c r="C51" s="15">
        <f>'100% mortgage'!C51-'no mortgage'!C51</f>
        <v>0</v>
      </c>
      <c r="D51" s="16" t="s">
        <v>43</v>
      </c>
      <c r="E51" s="15">
        <f>'100% mortgage'!E51-'no mortgage'!E51</f>
        <v>337.5</v>
      </c>
      <c r="F51" s="15">
        <f>'100% mortgage'!F51-'no mortgage'!F51</f>
        <v>50</v>
      </c>
      <c r="G51" s="15">
        <f>'100% mortgage'!G51-'no mortgage'!G51</f>
        <v>0</v>
      </c>
      <c r="H51" s="81">
        <f t="shared" si="14"/>
        <v>387.5</v>
      </c>
      <c r="I51" s="15">
        <f t="shared" si="15"/>
        <v>387.5</v>
      </c>
      <c r="J51" s="15">
        <f t="shared" si="16"/>
        <v>337.5</v>
      </c>
      <c r="K51" s="84">
        <v>0.19</v>
      </c>
      <c r="L51" s="5"/>
      <c r="M51" s="35">
        <f t="shared" si="17"/>
        <v>0.00155</v>
      </c>
      <c r="N51" s="33">
        <f t="shared" si="18"/>
        <v>0</v>
      </c>
      <c r="O51" s="33">
        <f t="shared" si="19"/>
        <v>0.0002</v>
      </c>
      <c r="P51" s="36">
        <f t="shared" si="20"/>
        <v>0.00135</v>
      </c>
      <c r="Q51" s="26">
        <f t="shared" si="21"/>
        <v>0</v>
      </c>
      <c r="R51" s="27">
        <f t="shared" si="22"/>
        <v>0.12903225806451613</v>
      </c>
      <c r="S51" s="28">
        <f t="shared" si="23"/>
        <v>0.8709677419354839</v>
      </c>
      <c r="T51" s="26">
        <f t="shared" si="26"/>
        <v>0</v>
      </c>
      <c r="U51" s="27"/>
      <c r="V51" s="28">
        <f t="shared" si="27"/>
        <v>1</v>
      </c>
      <c r="W51" s="26">
        <f t="shared" si="28"/>
        <v>0</v>
      </c>
      <c r="X51" s="27"/>
      <c r="Y51" s="28">
        <f t="shared" si="25"/>
        <v>0.00135</v>
      </c>
      <c r="Z51" s="27"/>
      <c r="AA51" s="27"/>
    </row>
    <row r="52" spans="2:27" ht="15.75">
      <c r="B52" s="12" t="s">
        <v>9</v>
      </c>
      <c r="C52" s="15">
        <f>'100% mortgage'!C52-'no mortgage'!C52</f>
        <v>0</v>
      </c>
      <c r="D52" s="15">
        <f>'100% mortgage'!D52</f>
        <v>202</v>
      </c>
      <c r="E52" s="15">
        <f>'100% mortgage'!E52-'no mortgage'!E52</f>
        <v>759</v>
      </c>
      <c r="F52" s="15">
        <f>'100% mortgage'!F52-'no mortgage'!F52</f>
        <v>172</v>
      </c>
      <c r="G52" s="15">
        <f>'100% mortgage'!G52-'no mortgage'!G52</f>
        <v>4250.000000000004</v>
      </c>
      <c r="H52" s="81">
        <f t="shared" si="14"/>
        <v>5383.000000000004</v>
      </c>
      <c r="I52" s="15">
        <f t="shared" si="15"/>
        <v>1133</v>
      </c>
      <c r="J52" s="15">
        <f t="shared" si="16"/>
        <v>961</v>
      </c>
      <c r="K52" s="84">
        <v>0.16</v>
      </c>
      <c r="L52" s="5"/>
      <c r="M52" s="35">
        <f t="shared" si="17"/>
        <v>0.021532000000000013</v>
      </c>
      <c r="N52" s="33">
        <f t="shared" si="18"/>
        <v>0.017000000000000015</v>
      </c>
      <c r="O52" s="33">
        <f t="shared" si="19"/>
        <v>0.000688</v>
      </c>
      <c r="P52" s="36">
        <f t="shared" si="20"/>
        <v>0.003844</v>
      </c>
      <c r="Q52" s="26">
        <f t="shared" si="21"/>
        <v>0.7895225710570315</v>
      </c>
      <c r="R52" s="27">
        <f t="shared" si="22"/>
        <v>0.031952442875719834</v>
      </c>
      <c r="S52" s="28">
        <f t="shared" si="23"/>
        <v>0.17852498606724862</v>
      </c>
      <c r="T52" s="26">
        <f t="shared" si="26"/>
        <v>0</v>
      </c>
      <c r="U52" s="27">
        <f>D52/J52</f>
        <v>0.21019771071800208</v>
      </c>
      <c r="V52" s="28">
        <f t="shared" si="27"/>
        <v>0.7898022892819979</v>
      </c>
      <c r="W52" s="26">
        <f t="shared" si="28"/>
        <v>0</v>
      </c>
      <c r="X52" s="27">
        <f>D52/250000</f>
        <v>0.000808</v>
      </c>
      <c r="Y52" s="28">
        <f t="shared" si="25"/>
        <v>0.003036</v>
      </c>
      <c r="Z52" s="27"/>
      <c r="AA52" s="27"/>
    </row>
    <row r="53" spans="2:27" ht="15.75">
      <c r="B53" s="20" t="s">
        <v>10</v>
      </c>
      <c r="C53" s="22">
        <f>'100% mortgage'!C53-'no mortgage'!C53</f>
        <v>0</v>
      </c>
      <c r="D53" s="22">
        <f>'100% mortgage'!D53-'no mortgage'!D53</f>
        <v>0</v>
      </c>
      <c r="E53" s="22">
        <f>'100% mortgage'!E53-'no mortgage'!E53</f>
        <v>0</v>
      </c>
      <c r="F53" s="22">
        <f>'100% mortgage'!F53-'no mortgage'!F53</f>
        <v>40</v>
      </c>
      <c r="G53" s="138">
        <f>'100% mortgage'!G53-'no mortgage'!G53</f>
        <v>5000</v>
      </c>
      <c r="H53" s="82">
        <f t="shared" si="14"/>
        <v>5040</v>
      </c>
      <c r="I53" s="22">
        <f t="shared" si="15"/>
        <v>40</v>
      </c>
      <c r="J53" s="22">
        <f t="shared" si="16"/>
        <v>0</v>
      </c>
      <c r="K53" s="85">
        <v>0.25</v>
      </c>
      <c r="L53" s="5"/>
      <c r="M53" s="35">
        <f t="shared" si="17"/>
        <v>0.02016</v>
      </c>
      <c r="N53" s="33">
        <f t="shared" si="18"/>
        <v>0.02</v>
      </c>
      <c r="O53" s="33">
        <f t="shared" si="19"/>
        <v>0.00016</v>
      </c>
      <c r="P53" s="36">
        <f t="shared" si="20"/>
        <v>0</v>
      </c>
      <c r="Q53" s="26">
        <f t="shared" si="21"/>
        <v>0.9920634920634921</v>
      </c>
      <c r="R53" s="27">
        <f t="shared" si="22"/>
        <v>0.007936507936507936</v>
      </c>
      <c r="S53" s="28">
        <f t="shared" si="23"/>
        <v>0</v>
      </c>
      <c r="T53" s="44"/>
      <c r="U53" s="27"/>
      <c r="V53" s="45"/>
      <c r="W53" s="44">
        <f t="shared" si="28"/>
        <v>0</v>
      </c>
      <c r="X53" s="27">
        <f>D53/250000</f>
        <v>0</v>
      </c>
      <c r="Y53" s="45">
        <f t="shared" si="25"/>
        <v>0</v>
      </c>
      <c r="Z53" s="55"/>
      <c r="AA53" s="55"/>
    </row>
    <row r="54" spans="2:27" ht="15.75">
      <c r="B54" s="42" t="s">
        <v>27</v>
      </c>
      <c r="C54" s="70">
        <f>(SUM(C34:C53))/D55</f>
        <v>0</v>
      </c>
      <c r="D54" s="70">
        <f>(SUM(D34:D53))/D55</f>
        <v>57.6</v>
      </c>
      <c r="E54" s="70">
        <f>(SUM(E34:E53))/D55</f>
        <v>465.9045</v>
      </c>
      <c r="F54" s="70">
        <f>(SUM(F34:F53))/D55</f>
        <v>525.9855</v>
      </c>
      <c r="G54" s="70">
        <f>(SUM(G34:G53))/D55</f>
        <v>936.5000000000002</v>
      </c>
      <c r="H54" s="82">
        <f>(SUM(H34:H53))/D55</f>
        <v>1985.9900000000002</v>
      </c>
      <c r="I54" s="70">
        <f>(SUM(I34:I53))/D55</f>
        <v>1049.49</v>
      </c>
      <c r="J54" s="70">
        <f>(SUM(J34:J53))/D55</f>
        <v>523.5045</v>
      </c>
      <c r="K54" s="41"/>
      <c r="L54" s="29" t="s">
        <v>27</v>
      </c>
      <c r="M54" s="52">
        <f>(SUM(M34:M53))/D55</f>
        <v>0.007943960000000002</v>
      </c>
      <c r="N54" s="53">
        <f>(SUM(N34:N53))/D55</f>
        <v>0.0037460000000000006</v>
      </c>
      <c r="O54" s="53">
        <f>(SUM(O34:O53))/D55</f>
        <v>0.002103942</v>
      </c>
      <c r="P54" s="53">
        <f>(SUM(P34:P53))/D55</f>
        <v>0.0020940179999999996</v>
      </c>
      <c r="Q54" s="52">
        <f>(SUM(Q34:Q53))/D55</f>
        <v>0.21097248578538896</v>
      </c>
      <c r="R54" s="53">
        <f>(SUM(R34:R53))/D55</f>
        <v>0.20988714723358687</v>
      </c>
      <c r="S54" s="53">
        <f>(SUM(S34:S53))/D55</f>
        <v>0.4791403669810242</v>
      </c>
      <c r="T54" s="52">
        <f>(SUM(T34:T53))/D55</f>
        <v>0</v>
      </c>
      <c r="U54" s="53">
        <f>(SUM(U34:U53))/D55</f>
        <v>0.16762061848837367</v>
      </c>
      <c r="V54" s="53">
        <f>(SUM(V34:V53))/D55</f>
        <v>0.5823793815116264</v>
      </c>
      <c r="W54" s="52">
        <f>(SUM(W34:W53))/D55</f>
        <v>0</v>
      </c>
      <c r="X54" s="53">
        <f>(SUM(X34:X53))/I55</f>
        <v>0.00035446153846153847</v>
      </c>
      <c r="Y54" s="54">
        <f>(SUM(Y34:Y53))/D55</f>
        <v>0.0018636179999999998</v>
      </c>
      <c r="Z54" s="32"/>
      <c r="AA54" s="32"/>
    </row>
    <row r="55" spans="2:27" ht="15.75">
      <c r="B55" s="64"/>
      <c r="C55" s="65" t="s">
        <v>44</v>
      </c>
      <c r="D55" s="66">
        <v>20</v>
      </c>
      <c r="E55" s="67"/>
      <c r="F55" s="65"/>
      <c r="G55" s="65"/>
      <c r="H55" s="65" t="s">
        <v>52</v>
      </c>
      <c r="I55" s="66">
        <v>13</v>
      </c>
      <c r="J55" s="68"/>
      <c r="K55" s="41"/>
      <c r="L55" s="3"/>
      <c r="M55" s="3"/>
      <c r="N55" s="3"/>
      <c r="O55" s="3"/>
      <c r="P55" s="3"/>
      <c r="T55" s="50" t="s">
        <v>51</v>
      </c>
      <c r="U55" s="31">
        <f>(SUM(U34:U53))/I55</f>
        <v>0.257877874597498</v>
      </c>
      <c r="W55" s="47"/>
      <c r="X55" s="46"/>
      <c r="Y55" s="47"/>
      <c r="Z55" s="49"/>
      <c r="AA55" s="49"/>
    </row>
    <row r="56" spans="2:27" ht="15.75">
      <c r="B56" s="73"/>
      <c r="C56" s="76"/>
      <c r="D56" s="77"/>
      <c r="E56" s="18"/>
      <c r="F56" s="78"/>
      <c r="G56" s="78"/>
      <c r="H56" s="78"/>
      <c r="I56" s="77"/>
      <c r="J56" s="2"/>
      <c r="K56" s="2"/>
      <c r="L56" s="3"/>
      <c r="M56" s="3"/>
      <c r="N56" s="3"/>
      <c r="O56" s="3"/>
      <c r="P56" s="3"/>
      <c r="T56" s="50"/>
      <c r="U56" s="31"/>
      <c r="W56" s="49"/>
      <c r="X56" s="32"/>
      <c r="Y56" s="49"/>
      <c r="Z56" s="49"/>
      <c r="AA56" s="49"/>
    </row>
    <row r="57" spans="2:27" ht="15.75">
      <c r="B57" t="s">
        <v>20</v>
      </c>
      <c r="C57" s="17"/>
      <c r="L57" s="3"/>
      <c r="M57" s="3"/>
      <c r="N57" s="3"/>
      <c r="O57" s="3"/>
      <c r="P57" s="3"/>
      <c r="V57" s="51"/>
      <c r="W57" s="48"/>
      <c r="Y57" s="48"/>
      <c r="Z57" s="48"/>
      <c r="AA57" s="48"/>
    </row>
    <row r="58" spans="2:27" ht="12.75">
      <c r="B58" t="s">
        <v>41</v>
      </c>
      <c r="U58" s="31"/>
      <c r="W58" s="49"/>
      <c r="X58" s="32"/>
      <c r="Y58" s="49"/>
      <c r="Z58" s="49"/>
      <c r="AA58" s="49"/>
    </row>
    <row r="59" spans="2:27" ht="12.75">
      <c r="B59" t="s">
        <v>55</v>
      </c>
      <c r="U59" s="31"/>
      <c r="W59" s="49"/>
      <c r="X59" s="32"/>
      <c r="Y59" s="49"/>
      <c r="Z59" s="49"/>
      <c r="AA59" s="49"/>
    </row>
    <row r="60" spans="2:21" ht="12.75">
      <c r="B60" s="79" t="s">
        <v>54</v>
      </c>
      <c r="U60" s="31"/>
    </row>
    <row r="61" spans="2:21" ht="12.75">
      <c r="B61" t="s">
        <v>53</v>
      </c>
      <c r="U61" s="31"/>
    </row>
    <row r="62" spans="2:21" ht="12.75">
      <c r="B62" s="73" t="s">
        <v>49</v>
      </c>
      <c r="U62" s="31"/>
    </row>
    <row r="63" spans="2:21" ht="12.75">
      <c r="B63" s="73" t="s">
        <v>184</v>
      </c>
      <c r="U63" s="31"/>
    </row>
    <row r="64" ht="12.75">
      <c r="B64" s="73" t="s">
        <v>50</v>
      </c>
    </row>
    <row r="65" spans="2:26" ht="12.75">
      <c r="B65" s="7"/>
      <c r="C65" s="8"/>
      <c r="D65" s="9">
        <v>500000</v>
      </c>
      <c r="E65" s="10" t="s">
        <v>123</v>
      </c>
      <c r="F65" s="8"/>
      <c r="G65" s="8"/>
      <c r="H65" s="7"/>
      <c r="I65" s="8"/>
      <c r="J65" s="8"/>
      <c r="K65" s="11"/>
      <c r="M65" s="34"/>
      <c r="N65" s="40" t="s">
        <v>28</v>
      </c>
      <c r="O65" s="30"/>
      <c r="P65" s="11"/>
      <c r="Q65" s="7"/>
      <c r="R65" s="30" t="s">
        <v>21</v>
      </c>
      <c r="S65" s="11"/>
      <c r="T65" s="7"/>
      <c r="U65" s="30" t="s">
        <v>24</v>
      </c>
      <c r="V65" s="11"/>
      <c r="W65" s="7"/>
      <c r="X65" s="30" t="s">
        <v>39</v>
      </c>
      <c r="Y65" s="11"/>
      <c r="Z65" s="2"/>
    </row>
    <row r="66" spans="2:26" ht="12.75">
      <c r="B66" s="12"/>
      <c r="C66" s="2"/>
      <c r="D66" s="2"/>
      <c r="E66" s="2"/>
      <c r="F66" s="2"/>
      <c r="G66" s="2"/>
      <c r="H66" s="159"/>
      <c r="I66" s="158" t="s">
        <v>124</v>
      </c>
      <c r="J66" s="2"/>
      <c r="K66" s="13"/>
      <c r="M66" s="37"/>
      <c r="N66" s="38" t="s">
        <v>30</v>
      </c>
      <c r="O66" s="38"/>
      <c r="P66" s="39"/>
      <c r="Q66" s="12"/>
      <c r="R66" s="38" t="s">
        <v>30</v>
      </c>
      <c r="S66" s="13"/>
      <c r="T66" s="12"/>
      <c r="U66" s="38" t="s">
        <v>30</v>
      </c>
      <c r="V66" s="13"/>
      <c r="W66" s="12"/>
      <c r="X66" s="38" t="s">
        <v>30</v>
      </c>
      <c r="Y66" s="13"/>
      <c r="Z66" s="2"/>
    </row>
    <row r="67" spans="2:26" ht="12.75">
      <c r="B67" s="56" t="s">
        <v>11</v>
      </c>
      <c r="C67" s="58" t="s">
        <v>40</v>
      </c>
      <c r="D67" s="58" t="s">
        <v>32</v>
      </c>
      <c r="E67" s="58" t="s">
        <v>46</v>
      </c>
      <c r="F67" s="58" t="s">
        <v>33</v>
      </c>
      <c r="G67" s="58" t="s">
        <v>17</v>
      </c>
      <c r="H67" s="57" t="s">
        <v>125</v>
      </c>
      <c r="I67" s="58" t="s">
        <v>36</v>
      </c>
      <c r="J67" s="58" t="s">
        <v>35</v>
      </c>
      <c r="K67" s="59" t="s">
        <v>18</v>
      </c>
      <c r="L67" s="23"/>
      <c r="M67" s="57" t="s">
        <v>37</v>
      </c>
      <c r="N67" s="58" t="s">
        <v>22</v>
      </c>
      <c r="O67" s="58" t="s">
        <v>23</v>
      </c>
      <c r="P67" s="60" t="s">
        <v>38</v>
      </c>
      <c r="Q67" s="61" t="s">
        <v>22</v>
      </c>
      <c r="R67" s="62" t="s">
        <v>23</v>
      </c>
      <c r="S67" s="60" t="s">
        <v>38</v>
      </c>
      <c r="T67" s="61" t="s">
        <v>25</v>
      </c>
      <c r="U67" s="62" t="s">
        <v>26</v>
      </c>
      <c r="V67" s="60" t="s">
        <v>47</v>
      </c>
      <c r="W67" s="61" t="s">
        <v>25</v>
      </c>
      <c r="X67" s="62" t="s">
        <v>26</v>
      </c>
      <c r="Y67" s="60" t="s">
        <v>47</v>
      </c>
      <c r="Z67" s="24"/>
    </row>
    <row r="68" spans="2:26" ht="12.75">
      <c r="B68" s="14" t="s">
        <v>12</v>
      </c>
      <c r="C68" s="15">
        <f>'100% mortgage'!C68-'no mortgage'!C68</f>
        <v>0</v>
      </c>
      <c r="D68" s="16" t="s">
        <v>43</v>
      </c>
      <c r="E68" s="15">
        <f>'100% mortgage'!E68-'no mortgage'!E68</f>
        <v>0</v>
      </c>
      <c r="F68" s="15">
        <f>'100% mortgage'!F68-'no mortgage'!F68</f>
        <v>6000</v>
      </c>
      <c r="G68" s="15">
        <f>'100% mortgage'!G68-'no mortgage'!G68</f>
        <v>0</v>
      </c>
      <c r="H68" s="80">
        <f aca="true" t="shared" si="29" ref="H68:H87">SUM(C68:G68)</f>
        <v>6000</v>
      </c>
      <c r="I68" s="15">
        <f aca="true" t="shared" si="30" ref="I68:I87">SUM(C68:F68)</f>
        <v>6000</v>
      </c>
      <c r="J68" s="15">
        <f aca="true" t="shared" si="31" ref="J68:J87">SUM(C68:E68)</f>
        <v>0</v>
      </c>
      <c r="K68" s="83">
        <v>0.2</v>
      </c>
      <c r="L68" s="4"/>
      <c r="M68" s="35">
        <f aca="true" t="shared" si="32" ref="M68:M87">H68/500000</f>
        <v>0.012</v>
      </c>
      <c r="N68" s="33">
        <f aca="true" t="shared" si="33" ref="N68:N87">G68/500000</f>
        <v>0</v>
      </c>
      <c r="O68" s="33">
        <f aca="true" t="shared" si="34" ref="O68:O85">F68/500000</f>
        <v>0.012</v>
      </c>
      <c r="P68" s="36">
        <f aca="true" t="shared" si="35" ref="P68:P87">J68/500000</f>
        <v>0</v>
      </c>
      <c r="Q68" s="26">
        <f aca="true" t="shared" si="36" ref="Q68:Q87">G68/H68</f>
        <v>0</v>
      </c>
      <c r="R68" s="27">
        <f aca="true" t="shared" si="37" ref="R68:R85">F68/H68</f>
        <v>1</v>
      </c>
      <c r="S68" s="28">
        <f aca="true" t="shared" si="38" ref="S68:S87">J68/H68</f>
        <v>0</v>
      </c>
      <c r="T68" s="26"/>
      <c r="U68" s="27"/>
      <c r="V68" s="28"/>
      <c r="W68" s="26">
        <f aca="true" t="shared" si="39" ref="W68:W76">C68/500000</f>
        <v>0</v>
      </c>
      <c r="X68" s="27"/>
      <c r="Y68" s="28">
        <f aca="true" t="shared" si="40" ref="Y68:Y87">E68/500000</f>
        <v>0</v>
      </c>
      <c r="Z68" s="27"/>
    </row>
    <row r="69" spans="2:26" ht="15.75">
      <c r="B69" s="14" t="s">
        <v>13</v>
      </c>
      <c r="C69" s="15">
        <f>'100% mortgage'!C69-'no mortgage'!C69</f>
        <v>0</v>
      </c>
      <c r="D69" s="16" t="s">
        <v>43</v>
      </c>
      <c r="E69" s="15">
        <f>'100% mortgage'!E69-'no mortgage'!E69</f>
        <v>1017.1999999999998</v>
      </c>
      <c r="F69" s="15">
        <f>'100% mortgage'!F69-'no mortgage'!F69</f>
        <v>500</v>
      </c>
      <c r="G69" s="15">
        <f>'100% mortgage'!G69-'no mortgage'!G69</f>
        <v>5500</v>
      </c>
      <c r="H69" s="81">
        <f t="shared" si="29"/>
        <v>7017.2</v>
      </c>
      <c r="I69" s="15">
        <f t="shared" si="30"/>
        <v>1517.1999999999998</v>
      </c>
      <c r="J69" s="15">
        <f t="shared" si="31"/>
        <v>1017.1999999999998</v>
      </c>
      <c r="K69" s="84">
        <v>0.21</v>
      </c>
      <c r="L69" s="5"/>
      <c r="M69" s="35">
        <f t="shared" si="32"/>
        <v>0.014034399999999999</v>
      </c>
      <c r="N69" s="33">
        <f t="shared" si="33"/>
        <v>0.011</v>
      </c>
      <c r="O69" s="33">
        <f t="shared" si="34"/>
        <v>0.001</v>
      </c>
      <c r="P69" s="36">
        <f t="shared" si="35"/>
        <v>0.0020343999999999996</v>
      </c>
      <c r="Q69" s="26">
        <f t="shared" si="36"/>
        <v>0.783788405631876</v>
      </c>
      <c r="R69" s="27">
        <f t="shared" si="37"/>
        <v>0.07125349142107963</v>
      </c>
      <c r="S69" s="28">
        <f t="shared" si="38"/>
        <v>0.1449581029470444</v>
      </c>
      <c r="T69" s="26">
        <f aca="true" t="shared" si="41" ref="T69:T86">C69/J69</f>
        <v>0</v>
      </c>
      <c r="U69" s="27"/>
      <c r="V69" s="28">
        <f aca="true" t="shared" si="42" ref="V69:V86">E69/J69</f>
        <v>1</v>
      </c>
      <c r="W69" s="26">
        <f t="shared" si="39"/>
        <v>0</v>
      </c>
      <c r="X69" s="27"/>
      <c r="Y69" s="28">
        <f t="shared" si="40"/>
        <v>0.0020343999999999996</v>
      </c>
      <c r="Z69" s="27"/>
    </row>
    <row r="70" spans="2:26" ht="15.75">
      <c r="B70" s="14" t="s">
        <v>154</v>
      </c>
      <c r="C70" s="15">
        <f>'100% mortgage'!C70-'no mortgage'!C70</f>
        <v>0</v>
      </c>
      <c r="D70" s="15">
        <f>'100% mortgage'!D70-'no mortgage'!D70</f>
        <v>0</v>
      </c>
      <c r="E70" s="15">
        <f>'100% mortgage'!E70-'no mortgage'!E70</f>
        <v>500</v>
      </c>
      <c r="F70" s="15">
        <f>'100% mortgage'!F70-'no mortgage'!F70</f>
        <v>0</v>
      </c>
      <c r="G70" s="15">
        <f>'100% mortgage'!G70-'no mortgage'!G70</f>
        <v>0</v>
      </c>
      <c r="H70" s="81">
        <f t="shared" si="29"/>
        <v>500</v>
      </c>
      <c r="I70" s="15">
        <f t="shared" si="30"/>
        <v>500</v>
      </c>
      <c r="J70" s="15">
        <f t="shared" si="31"/>
        <v>500</v>
      </c>
      <c r="K70" s="84">
        <v>0.19</v>
      </c>
      <c r="L70" s="5"/>
      <c r="M70" s="35">
        <f t="shared" si="32"/>
        <v>0.001</v>
      </c>
      <c r="N70" s="33">
        <f t="shared" si="33"/>
        <v>0</v>
      </c>
      <c r="O70" s="33">
        <f t="shared" si="34"/>
        <v>0</v>
      </c>
      <c r="P70" s="36">
        <f t="shared" si="35"/>
        <v>0.001</v>
      </c>
      <c r="Q70" s="26"/>
      <c r="R70" s="27"/>
      <c r="S70" s="28"/>
      <c r="T70" s="26"/>
      <c r="U70" s="27"/>
      <c r="V70" s="28"/>
      <c r="W70" s="26">
        <f t="shared" si="39"/>
        <v>0</v>
      </c>
      <c r="X70" s="27">
        <f>D70/500000</f>
        <v>0</v>
      </c>
      <c r="Y70" s="28">
        <f t="shared" si="40"/>
        <v>0.001</v>
      </c>
      <c r="Z70" s="27"/>
    </row>
    <row r="71" spans="2:26" ht="15.75">
      <c r="B71" s="12" t="s">
        <v>14</v>
      </c>
      <c r="C71" s="15">
        <f>'100% mortgage'!C71-'no mortgage'!C71</f>
        <v>0</v>
      </c>
      <c r="D71" s="15">
        <f>'100% mortgage'!D71-'no mortgage'!D71</f>
        <v>0</v>
      </c>
      <c r="E71" s="15">
        <f>'100% mortgage'!E71-'no mortgage'!E71</f>
        <v>0</v>
      </c>
      <c r="F71" s="15">
        <f>'100% mortgage'!F71-'no mortgage'!F71</f>
        <v>7687</v>
      </c>
      <c r="G71" s="15">
        <f>'100% mortgage'!G71-'no mortgage'!G71</f>
        <v>0</v>
      </c>
      <c r="H71" s="81">
        <f t="shared" si="29"/>
        <v>7687</v>
      </c>
      <c r="I71" s="15">
        <f t="shared" si="30"/>
        <v>7687</v>
      </c>
      <c r="J71" s="15">
        <f t="shared" si="31"/>
        <v>0</v>
      </c>
      <c r="K71" s="84">
        <v>0.25</v>
      </c>
      <c r="L71" s="5"/>
      <c r="M71" s="35">
        <f t="shared" si="32"/>
        <v>0.015374</v>
      </c>
      <c r="N71" s="33">
        <f t="shared" si="33"/>
        <v>0</v>
      </c>
      <c r="O71" s="33">
        <f t="shared" si="34"/>
        <v>0.015374</v>
      </c>
      <c r="P71" s="36">
        <f t="shared" si="35"/>
        <v>0</v>
      </c>
      <c r="Q71" s="26">
        <f t="shared" si="36"/>
        <v>0</v>
      </c>
      <c r="R71" s="27">
        <f t="shared" si="37"/>
        <v>1</v>
      </c>
      <c r="S71" s="28">
        <f t="shared" si="38"/>
        <v>0</v>
      </c>
      <c r="T71" s="44"/>
      <c r="U71" s="27"/>
      <c r="V71" s="45"/>
      <c r="W71" s="44">
        <f t="shared" si="39"/>
        <v>0</v>
      </c>
      <c r="X71" s="27">
        <f>D71/500000</f>
        <v>0</v>
      </c>
      <c r="Y71" s="45">
        <f t="shared" si="40"/>
        <v>0</v>
      </c>
      <c r="Z71" s="55"/>
    </row>
    <row r="72" spans="2:26" ht="15.75">
      <c r="B72" s="12" t="s">
        <v>0</v>
      </c>
      <c r="C72" s="15">
        <f>'100% mortgage'!C72-'no mortgage'!C72</f>
        <v>0</v>
      </c>
      <c r="D72" s="15">
        <f>'100% mortgage'!D72-'no mortgage'!D72</f>
        <v>225</v>
      </c>
      <c r="E72" s="15">
        <f>'100% mortgage'!E72-'no mortgage'!E72</f>
        <v>500</v>
      </c>
      <c r="F72" s="15">
        <f>'100% mortgage'!F72-'no mortgage'!F72</f>
        <v>0</v>
      </c>
      <c r="G72" s="15">
        <f>'100% mortgage'!G72-'no mortgage'!G72</f>
        <v>0</v>
      </c>
      <c r="H72" s="81">
        <f t="shared" si="29"/>
        <v>725</v>
      </c>
      <c r="I72" s="15">
        <f t="shared" si="30"/>
        <v>725</v>
      </c>
      <c r="J72" s="15">
        <f t="shared" si="31"/>
        <v>725</v>
      </c>
      <c r="K72" s="84">
        <v>0.175</v>
      </c>
      <c r="L72" s="5"/>
      <c r="M72" s="35">
        <f t="shared" si="32"/>
        <v>0.00145</v>
      </c>
      <c r="N72" s="33">
        <f t="shared" si="33"/>
        <v>0</v>
      </c>
      <c r="O72" s="33">
        <f t="shared" si="34"/>
        <v>0</v>
      </c>
      <c r="P72" s="36">
        <f t="shared" si="35"/>
        <v>0.00145</v>
      </c>
      <c r="Q72" s="26">
        <f t="shared" si="36"/>
        <v>0</v>
      </c>
      <c r="R72" s="27">
        <f t="shared" si="37"/>
        <v>0</v>
      </c>
      <c r="S72" s="28">
        <f t="shared" si="38"/>
        <v>1</v>
      </c>
      <c r="T72" s="26">
        <f t="shared" si="41"/>
        <v>0</v>
      </c>
      <c r="U72" s="27">
        <f>D72/J72</f>
        <v>0.3103448275862069</v>
      </c>
      <c r="V72" s="28">
        <f t="shared" si="42"/>
        <v>0.6896551724137931</v>
      </c>
      <c r="W72" s="26">
        <f t="shared" si="39"/>
        <v>0</v>
      </c>
      <c r="X72" s="27">
        <f>D72/500000</f>
        <v>0.00045</v>
      </c>
      <c r="Y72" s="28">
        <f t="shared" si="40"/>
        <v>0.001</v>
      </c>
      <c r="Z72" s="27"/>
    </row>
    <row r="73" spans="2:26" ht="15.75">
      <c r="B73" s="12" t="s">
        <v>1</v>
      </c>
      <c r="C73" s="15">
        <f>'100% mortgage'!C73-'no mortgage'!C73</f>
        <v>0</v>
      </c>
      <c r="D73" s="15">
        <f>'100% mortgage'!D73-'no mortgage'!D73</f>
        <v>0</v>
      </c>
      <c r="E73" s="15">
        <f>'100% mortgage'!E73-'no mortgage'!E73</f>
        <v>353.2</v>
      </c>
      <c r="F73" s="15">
        <f>'100% mortgage'!F73-'no mortgage'!F73</f>
        <v>44</v>
      </c>
      <c r="G73" s="15">
        <f>'100% mortgage'!G73-'no mortgage'!G73</f>
        <v>0</v>
      </c>
      <c r="H73" s="81">
        <f t="shared" si="29"/>
        <v>397.2</v>
      </c>
      <c r="I73" s="15">
        <f t="shared" si="30"/>
        <v>397.2</v>
      </c>
      <c r="J73" s="15">
        <f t="shared" si="31"/>
        <v>353.2</v>
      </c>
      <c r="K73" s="84"/>
      <c r="L73" s="5"/>
      <c r="M73" s="35">
        <f t="shared" si="32"/>
        <v>0.0007944</v>
      </c>
      <c r="N73" s="33">
        <f t="shared" si="33"/>
        <v>0</v>
      </c>
      <c r="O73" s="33">
        <f t="shared" si="34"/>
        <v>8.8E-05</v>
      </c>
      <c r="P73" s="36">
        <f t="shared" si="35"/>
        <v>0.0007063999999999999</v>
      </c>
      <c r="Q73" s="26">
        <f t="shared" si="36"/>
        <v>0</v>
      </c>
      <c r="R73" s="27">
        <f t="shared" si="37"/>
        <v>0.1107754279959718</v>
      </c>
      <c r="S73" s="28">
        <f t="shared" si="38"/>
        <v>0.8892245720040282</v>
      </c>
      <c r="T73" s="44">
        <f t="shared" si="41"/>
        <v>0</v>
      </c>
      <c r="U73" s="27">
        <f>D73/J73</f>
        <v>0</v>
      </c>
      <c r="V73" s="45">
        <f t="shared" si="42"/>
        <v>1</v>
      </c>
      <c r="W73" s="44">
        <f t="shared" si="39"/>
        <v>0</v>
      </c>
      <c r="X73" s="27">
        <f>D73/500000</f>
        <v>0</v>
      </c>
      <c r="Y73" s="45">
        <f t="shared" si="40"/>
        <v>0.0007063999999999999</v>
      </c>
      <c r="Z73" s="55"/>
    </row>
    <row r="74" spans="2:26" ht="15.75">
      <c r="B74" s="12" t="s">
        <v>2</v>
      </c>
      <c r="C74" s="15">
        <f>'100% mortgage'!C74-'no mortgage'!C74</f>
        <v>0</v>
      </c>
      <c r="D74" s="15">
        <f>'100% mortgage'!D74-'no mortgage'!D74</f>
        <v>0</v>
      </c>
      <c r="E74" s="15">
        <f>'100% mortgage'!E74-'no mortgage'!E74</f>
        <v>1485</v>
      </c>
      <c r="F74" s="15">
        <f>'100% mortgage'!F74-'no mortgage'!F74</f>
        <v>250</v>
      </c>
      <c r="G74" s="15">
        <f>'100% mortgage'!G74-'no mortgage'!G74</f>
        <v>0</v>
      </c>
      <c r="H74" s="81">
        <f t="shared" si="29"/>
        <v>1735</v>
      </c>
      <c r="I74" s="15">
        <f t="shared" si="30"/>
        <v>1735</v>
      </c>
      <c r="J74" s="15">
        <f t="shared" si="31"/>
        <v>1485</v>
      </c>
      <c r="K74" s="84">
        <v>0.196</v>
      </c>
      <c r="L74" s="5"/>
      <c r="M74" s="35">
        <f t="shared" si="32"/>
        <v>0.00347</v>
      </c>
      <c r="N74" s="33">
        <f t="shared" si="33"/>
        <v>0</v>
      </c>
      <c r="O74" s="33">
        <f t="shared" si="34"/>
        <v>0.0005</v>
      </c>
      <c r="P74" s="36">
        <f t="shared" si="35"/>
        <v>0.00297</v>
      </c>
      <c r="Q74" s="26">
        <f t="shared" si="36"/>
        <v>0</v>
      </c>
      <c r="R74" s="27">
        <f t="shared" si="37"/>
        <v>0.1440922190201729</v>
      </c>
      <c r="S74" s="28">
        <f t="shared" si="38"/>
        <v>0.8559077809798271</v>
      </c>
      <c r="T74" s="26">
        <f t="shared" si="41"/>
        <v>0</v>
      </c>
      <c r="U74" s="27">
        <f>D74/J74</f>
        <v>0</v>
      </c>
      <c r="V74" s="28">
        <f t="shared" si="42"/>
        <v>1</v>
      </c>
      <c r="W74" s="26">
        <f t="shared" si="39"/>
        <v>0</v>
      </c>
      <c r="X74" s="27">
        <f>D74/500000</f>
        <v>0</v>
      </c>
      <c r="Y74" s="28">
        <f t="shared" si="40"/>
        <v>0.00297</v>
      </c>
      <c r="Z74" s="27"/>
    </row>
    <row r="75" spans="2:26" ht="15.75">
      <c r="B75" s="12" t="s">
        <v>3</v>
      </c>
      <c r="C75" s="15">
        <f>'100% mortgage'!C75-'no mortgage'!C75</f>
        <v>0</v>
      </c>
      <c r="D75" s="16" t="s">
        <v>43</v>
      </c>
      <c r="E75" s="15">
        <f>'100% mortgage'!E75-'no mortgage'!E75</f>
        <v>827</v>
      </c>
      <c r="F75" s="15">
        <f>'100% mortgage'!F75-'no mortgage'!F75</f>
        <v>808</v>
      </c>
      <c r="G75" s="15">
        <f>'100% mortgage'!G75-'no mortgage'!G75</f>
        <v>0</v>
      </c>
      <c r="H75" s="81">
        <f t="shared" si="29"/>
        <v>1635</v>
      </c>
      <c r="I75" s="15">
        <f t="shared" si="30"/>
        <v>1635</v>
      </c>
      <c r="J75" s="15">
        <f t="shared" si="31"/>
        <v>827</v>
      </c>
      <c r="K75" s="84">
        <v>0.16</v>
      </c>
      <c r="L75" s="5"/>
      <c r="M75" s="35">
        <f t="shared" si="32"/>
        <v>0.00327</v>
      </c>
      <c r="N75" s="33">
        <f t="shared" si="33"/>
        <v>0</v>
      </c>
      <c r="O75" s="33">
        <f t="shared" si="34"/>
        <v>0.001616</v>
      </c>
      <c r="P75" s="36">
        <f t="shared" si="35"/>
        <v>0.001654</v>
      </c>
      <c r="Q75" s="26">
        <f t="shared" si="36"/>
        <v>0</v>
      </c>
      <c r="R75" s="27">
        <f t="shared" si="37"/>
        <v>0.4941896024464832</v>
      </c>
      <c r="S75" s="28">
        <f t="shared" si="38"/>
        <v>0.5058103975535169</v>
      </c>
      <c r="T75" s="26">
        <f t="shared" si="41"/>
        <v>0</v>
      </c>
      <c r="U75" s="27"/>
      <c r="V75" s="28">
        <f t="shared" si="42"/>
        <v>1</v>
      </c>
      <c r="W75" s="26">
        <f t="shared" si="39"/>
        <v>0</v>
      </c>
      <c r="X75" s="27"/>
      <c r="Y75" s="28">
        <f t="shared" si="40"/>
        <v>0.001654</v>
      </c>
      <c r="Z75" s="27"/>
    </row>
    <row r="76" spans="2:26" ht="15.75">
      <c r="B76" s="12" t="s">
        <v>15</v>
      </c>
      <c r="C76" s="15">
        <f>'100% mortgage'!C76-'no mortgage'!C76</f>
        <v>0</v>
      </c>
      <c r="D76" s="15">
        <f>'100% mortgage'!D76-'no mortgage'!D76</f>
        <v>0</v>
      </c>
      <c r="E76" s="15">
        <f>'100% mortgage'!E76-'no mortgage'!E76</f>
        <v>500</v>
      </c>
      <c r="F76" s="15">
        <f>'100% mortgage'!F76-'no mortgage'!F76</f>
        <v>3890</v>
      </c>
      <c r="G76" s="15">
        <f>'100% mortgage'!G76-'no mortgage'!G76</f>
        <v>0</v>
      </c>
      <c r="H76" s="81">
        <f t="shared" si="29"/>
        <v>4390</v>
      </c>
      <c r="I76" s="15">
        <f t="shared" si="30"/>
        <v>4390</v>
      </c>
      <c r="J76" s="15">
        <f t="shared" si="31"/>
        <v>500</v>
      </c>
      <c r="K76" s="84">
        <v>0.19</v>
      </c>
      <c r="L76" s="5"/>
      <c r="M76" s="35">
        <f t="shared" si="32"/>
        <v>0.00878</v>
      </c>
      <c r="N76" s="33">
        <f t="shared" si="33"/>
        <v>0</v>
      </c>
      <c r="O76" s="33">
        <f t="shared" si="34"/>
        <v>0.00778</v>
      </c>
      <c r="P76" s="36">
        <f t="shared" si="35"/>
        <v>0.001</v>
      </c>
      <c r="Q76" s="26">
        <f t="shared" si="36"/>
        <v>0</v>
      </c>
      <c r="R76" s="27">
        <f t="shared" si="37"/>
        <v>0.8861047835990888</v>
      </c>
      <c r="S76" s="28">
        <f t="shared" si="38"/>
        <v>0.11389521640091116</v>
      </c>
      <c r="T76" s="26">
        <f t="shared" si="41"/>
        <v>0</v>
      </c>
      <c r="U76" s="27">
        <f>D76/J76</f>
        <v>0</v>
      </c>
      <c r="V76" s="28">
        <f t="shared" si="42"/>
        <v>1</v>
      </c>
      <c r="W76" s="26">
        <f t="shared" si="39"/>
        <v>0</v>
      </c>
      <c r="X76" s="27">
        <f>D76/500000</f>
        <v>0</v>
      </c>
      <c r="Y76" s="28">
        <f t="shared" si="40"/>
        <v>0.001</v>
      </c>
      <c r="Z76" s="27"/>
    </row>
    <row r="77" spans="2:26" ht="15.75">
      <c r="B77" s="12" t="s">
        <v>19</v>
      </c>
      <c r="C77" s="15">
        <f>'100% mortgage'!C77-'no mortgage'!C77</f>
        <v>0</v>
      </c>
      <c r="D77" s="16" t="s">
        <v>43</v>
      </c>
      <c r="E77" s="15">
        <f>'100% mortgage'!E77-'no mortgage'!E77</f>
        <v>2350</v>
      </c>
      <c r="F77" s="15">
        <f>'100% mortgage'!F77-'no mortgage'!F77</f>
        <v>44</v>
      </c>
      <c r="G77" s="15">
        <f>'100% mortgage'!G77-'no mortgage'!G77</f>
        <v>0</v>
      </c>
      <c r="H77" s="81">
        <f t="shared" si="29"/>
        <v>2394</v>
      </c>
      <c r="I77" s="15">
        <f t="shared" si="30"/>
        <v>2394</v>
      </c>
      <c r="J77" s="15">
        <f t="shared" si="31"/>
        <v>2350</v>
      </c>
      <c r="K77" s="84">
        <v>0.2</v>
      </c>
      <c r="L77" s="5"/>
      <c r="M77" s="35">
        <f t="shared" si="32"/>
        <v>0.004788</v>
      </c>
      <c r="N77" s="33">
        <f t="shared" si="33"/>
        <v>0</v>
      </c>
      <c r="O77" s="33">
        <f t="shared" si="34"/>
        <v>8.8E-05</v>
      </c>
      <c r="P77" s="36">
        <f t="shared" si="35"/>
        <v>0.0047</v>
      </c>
      <c r="Q77" s="26">
        <f t="shared" si="36"/>
        <v>0</v>
      </c>
      <c r="R77" s="27">
        <f t="shared" si="37"/>
        <v>0.018379281537176273</v>
      </c>
      <c r="S77" s="28">
        <f t="shared" si="38"/>
        <v>0.9816207184628237</v>
      </c>
      <c r="T77" s="26">
        <f t="shared" si="41"/>
        <v>0</v>
      </c>
      <c r="U77" s="27"/>
      <c r="V77" s="28">
        <f t="shared" si="42"/>
        <v>1</v>
      </c>
      <c r="W77" s="26"/>
      <c r="X77" s="27"/>
      <c r="Y77" s="28">
        <f t="shared" si="40"/>
        <v>0.0047</v>
      </c>
      <c r="Z77" s="27"/>
    </row>
    <row r="78" spans="2:26" ht="15.75">
      <c r="B78" s="12" t="s">
        <v>4</v>
      </c>
      <c r="C78" s="15">
        <f>'100% mortgage'!C78-'no mortgage'!C78</f>
        <v>0</v>
      </c>
      <c r="D78" s="15">
        <f>'100% mortgage'!D78-'no mortgage'!D78</f>
        <v>0</v>
      </c>
      <c r="E78" s="15">
        <f>'100% mortgage'!E78-'no mortgage'!E78</f>
        <v>0</v>
      </c>
      <c r="F78" s="15">
        <f>'100% mortgage'!F78-'no mortgage'!F78</f>
        <v>0</v>
      </c>
      <c r="G78" s="15">
        <f>'100% mortgage'!G78-'no mortgage'!G78</f>
        <v>0</v>
      </c>
      <c r="H78" s="81">
        <f t="shared" si="29"/>
        <v>0</v>
      </c>
      <c r="I78" s="15">
        <f t="shared" si="30"/>
        <v>0</v>
      </c>
      <c r="J78" s="15">
        <f t="shared" si="31"/>
        <v>0</v>
      </c>
      <c r="K78" s="84">
        <v>0.21</v>
      </c>
      <c r="L78" s="5"/>
      <c r="M78" s="35">
        <f t="shared" si="32"/>
        <v>0</v>
      </c>
      <c r="N78" s="33">
        <f t="shared" si="33"/>
        <v>0</v>
      </c>
      <c r="O78" s="33">
        <f t="shared" si="34"/>
        <v>0</v>
      </c>
      <c r="P78" s="36">
        <f t="shared" si="35"/>
        <v>0</v>
      </c>
      <c r="Q78" s="26"/>
      <c r="R78" s="27"/>
      <c r="S78" s="28"/>
      <c r="T78" s="26"/>
      <c r="U78" s="27"/>
      <c r="V78" s="28"/>
      <c r="W78" s="26">
        <f>C78/500000</f>
        <v>0</v>
      </c>
      <c r="X78" s="27">
        <f>D78/500000</f>
        <v>0</v>
      </c>
      <c r="Y78" s="28">
        <f t="shared" si="40"/>
        <v>0</v>
      </c>
      <c r="Z78" s="27"/>
    </row>
    <row r="79" spans="2:26" ht="15.75">
      <c r="B79" s="12" t="s">
        <v>5</v>
      </c>
      <c r="C79" s="15">
        <f>'100% mortgage'!C79-'no mortgage'!C79</f>
        <v>0</v>
      </c>
      <c r="D79" s="16" t="s">
        <v>43</v>
      </c>
      <c r="E79" s="15">
        <f>'100% mortgage'!E79-'no mortgage'!E79</f>
        <v>2350</v>
      </c>
      <c r="F79" s="15">
        <f>'100% mortgage'!F79-'no mortgage'!F79</f>
        <v>34.71000000000001</v>
      </c>
      <c r="G79" s="15">
        <f>'100% mortgage'!G79-'no mortgage'!G79</f>
        <v>168</v>
      </c>
      <c r="H79" s="81">
        <f t="shared" si="29"/>
        <v>2552.71</v>
      </c>
      <c r="I79" s="15">
        <f t="shared" si="30"/>
        <v>2384.71</v>
      </c>
      <c r="J79" s="15">
        <f t="shared" si="31"/>
        <v>2350</v>
      </c>
      <c r="K79" s="84">
        <v>0.2</v>
      </c>
      <c r="L79" s="5"/>
      <c r="M79" s="35">
        <f t="shared" si="32"/>
        <v>0.00510542</v>
      </c>
      <c r="N79" s="33">
        <f t="shared" si="33"/>
        <v>0.000336</v>
      </c>
      <c r="O79" s="33">
        <f t="shared" si="34"/>
        <v>6.942000000000001E-05</v>
      </c>
      <c r="P79" s="36">
        <f t="shared" si="35"/>
        <v>0.0047</v>
      </c>
      <c r="Q79" s="26">
        <f t="shared" si="36"/>
        <v>0.06581241112386445</v>
      </c>
      <c r="R79" s="27">
        <f t="shared" si="37"/>
        <v>0.013597314226841281</v>
      </c>
      <c r="S79" s="28">
        <f t="shared" si="38"/>
        <v>0.9205902746492942</v>
      </c>
      <c r="T79" s="26">
        <f t="shared" si="41"/>
        <v>0</v>
      </c>
      <c r="U79" s="27"/>
      <c r="V79" s="28">
        <f t="shared" si="42"/>
        <v>1</v>
      </c>
      <c r="W79" s="26">
        <f aca="true" t="shared" si="43" ref="W79:W87">C79/500000</f>
        <v>0</v>
      </c>
      <c r="X79" s="27"/>
      <c r="Y79" s="28">
        <f t="shared" si="40"/>
        <v>0.0047</v>
      </c>
      <c r="Z79" s="27"/>
    </row>
    <row r="80" spans="2:26" ht="15.75">
      <c r="B80" s="12" t="s">
        <v>6</v>
      </c>
      <c r="C80" s="15">
        <f>'100% mortgage'!C80-'no mortgage'!C80</f>
        <v>0</v>
      </c>
      <c r="D80" s="16" t="s">
        <v>43</v>
      </c>
      <c r="E80" s="15">
        <f>'100% mortgage'!E80-'no mortgage'!E80</f>
        <v>803</v>
      </c>
      <c r="F80" s="15">
        <f>'100% mortgage'!F80-'no mortgage'!F80</f>
        <v>73</v>
      </c>
      <c r="G80" s="15">
        <f>'100% mortgage'!G80-'no mortgage'!G80</f>
        <v>0</v>
      </c>
      <c r="H80" s="81">
        <f t="shared" si="29"/>
        <v>876</v>
      </c>
      <c r="I80" s="15">
        <f t="shared" si="30"/>
        <v>876</v>
      </c>
      <c r="J80" s="15">
        <f t="shared" si="31"/>
        <v>803</v>
      </c>
      <c r="K80" s="84">
        <v>0.19</v>
      </c>
      <c r="L80" s="5"/>
      <c r="M80" s="35">
        <f t="shared" si="32"/>
        <v>0.001752</v>
      </c>
      <c r="N80" s="33">
        <f t="shared" si="33"/>
        <v>0</v>
      </c>
      <c r="O80" s="33">
        <f t="shared" si="34"/>
        <v>0.000146</v>
      </c>
      <c r="P80" s="36">
        <f t="shared" si="35"/>
        <v>0.001606</v>
      </c>
      <c r="Q80" s="26">
        <f t="shared" si="36"/>
        <v>0</v>
      </c>
      <c r="R80" s="27">
        <f t="shared" si="37"/>
        <v>0.08333333333333333</v>
      </c>
      <c r="S80" s="28">
        <f t="shared" si="38"/>
        <v>0.9166666666666666</v>
      </c>
      <c r="T80" s="26">
        <f t="shared" si="41"/>
        <v>0</v>
      </c>
      <c r="U80" s="27"/>
      <c r="V80" s="28">
        <f t="shared" si="42"/>
        <v>1</v>
      </c>
      <c r="W80" s="26">
        <f t="shared" si="43"/>
        <v>0</v>
      </c>
      <c r="X80" s="27"/>
      <c r="Y80" s="28">
        <f t="shared" si="40"/>
        <v>0.001606</v>
      </c>
      <c r="Z80" s="27"/>
    </row>
    <row r="81" spans="2:26" ht="15.75">
      <c r="B81" s="12" t="s">
        <v>7</v>
      </c>
      <c r="C81" s="15">
        <f>'100% mortgage'!C81-'no mortgage'!C81</f>
        <v>0</v>
      </c>
      <c r="D81" s="15">
        <f>'100% mortgage'!D81</f>
        <v>250</v>
      </c>
      <c r="E81" s="15">
        <f>'100% mortgage'!E81-'no mortgage'!E81</f>
        <v>0</v>
      </c>
      <c r="F81" s="15">
        <f>'100% mortgage'!F81-'no mortgage'!F81</f>
        <v>0</v>
      </c>
      <c r="G81" s="15">
        <f>'100% mortgage'!G81-'no mortgage'!G81</f>
        <v>10125</v>
      </c>
      <c r="H81" s="81">
        <f t="shared" si="29"/>
        <v>10375</v>
      </c>
      <c r="I81" s="15">
        <f t="shared" si="30"/>
        <v>250</v>
      </c>
      <c r="J81" s="15">
        <f t="shared" si="31"/>
        <v>250</v>
      </c>
      <c r="K81" s="84">
        <v>0.22</v>
      </c>
      <c r="L81" s="5"/>
      <c r="M81" s="35">
        <f t="shared" si="32"/>
        <v>0.02075</v>
      </c>
      <c r="N81" s="33">
        <f t="shared" si="33"/>
        <v>0.02025</v>
      </c>
      <c r="O81" s="33">
        <f t="shared" si="34"/>
        <v>0</v>
      </c>
      <c r="P81" s="36">
        <f t="shared" si="35"/>
        <v>0.0005</v>
      </c>
      <c r="Q81" s="26">
        <f t="shared" si="36"/>
        <v>0.9759036144578314</v>
      </c>
      <c r="R81" s="27">
        <f t="shared" si="37"/>
        <v>0</v>
      </c>
      <c r="S81" s="28">
        <f t="shared" si="38"/>
        <v>0.024096385542168676</v>
      </c>
      <c r="T81" s="26">
        <f t="shared" si="41"/>
        <v>0</v>
      </c>
      <c r="U81" s="27">
        <f>D81/J81</f>
        <v>1</v>
      </c>
      <c r="V81" s="28">
        <f t="shared" si="42"/>
        <v>0</v>
      </c>
      <c r="W81" s="26">
        <f t="shared" si="43"/>
        <v>0</v>
      </c>
      <c r="X81" s="27">
        <f>D81/500000</f>
        <v>0.0005</v>
      </c>
      <c r="Y81" s="28">
        <f t="shared" si="40"/>
        <v>0</v>
      </c>
      <c r="Z81" s="27"/>
    </row>
    <row r="82" spans="2:26" ht="15.75">
      <c r="B82" s="12" t="s">
        <v>189</v>
      </c>
      <c r="C82" s="15">
        <f>'100% mortgage'!C82-'no mortgage'!C82</f>
        <v>0</v>
      </c>
      <c r="D82" s="15">
        <f>'100% mortgage'!D82</f>
        <v>275</v>
      </c>
      <c r="E82" s="15">
        <f>'100% mortgage'!E82-'no mortgage'!E82</f>
        <v>136.35000000000002</v>
      </c>
      <c r="F82" s="15">
        <f>'100% mortgage'!F82-'no mortgage'!F82</f>
        <v>135</v>
      </c>
      <c r="G82" s="15">
        <f>'100% mortgage'!G82-'no mortgage'!G82</f>
        <v>3000</v>
      </c>
      <c r="H82" s="81">
        <f>SUM(C82:G82)</f>
        <v>3546.35</v>
      </c>
      <c r="I82" s="15">
        <f>SUM(C82:F82)</f>
        <v>546.35</v>
      </c>
      <c r="J82" s="15">
        <f>SUM(C82:E82)</f>
        <v>411.35</v>
      </c>
      <c r="K82" s="84">
        <v>0.21</v>
      </c>
      <c r="L82" s="5"/>
      <c r="M82" s="35">
        <f>H82/500000</f>
        <v>0.0070926999999999995</v>
      </c>
      <c r="N82" s="33">
        <f>G82/500000</f>
        <v>0.006</v>
      </c>
      <c r="O82" s="33">
        <f>F82/500000</f>
        <v>0.00027</v>
      </c>
      <c r="P82" s="36">
        <f>J82/500000</f>
        <v>0.0008227</v>
      </c>
      <c r="Q82" s="26">
        <f>G82/H82</f>
        <v>0.8459401920284236</v>
      </c>
      <c r="R82" s="27">
        <f>F82/H82</f>
        <v>0.038067308641279066</v>
      </c>
      <c r="S82" s="28">
        <f>J82/H82</f>
        <v>0.11599249933029736</v>
      </c>
      <c r="T82" s="26">
        <f>C82/J82</f>
        <v>0</v>
      </c>
      <c r="U82" s="27">
        <f>D82/J82</f>
        <v>0.6685304485231555</v>
      </c>
      <c r="V82" s="28">
        <f>E82/J82</f>
        <v>0.3314695514768446</v>
      </c>
      <c r="W82" s="26">
        <f>C82/500000</f>
        <v>0</v>
      </c>
      <c r="X82" s="27">
        <f>D82/500000</f>
        <v>0.00055</v>
      </c>
      <c r="Y82" s="28">
        <f>E82/500000</f>
        <v>0.00027270000000000007</v>
      </c>
      <c r="Z82" s="27"/>
    </row>
    <row r="83" spans="2:26" ht="15.75">
      <c r="B83" s="19" t="s">
        <v>8</v>
      </c>
      <c r="C83" s="15">
        <f>'100% mortgage'!C83-'no mortgage'!C83</f>
        <v>0</v>
      </c>
      <c r="D83" s="15">
        <f>'100% mortgage'!D83-'no mortgage'!D83</f>
        <v>0</v>
      </c>
      <c r="E83" s="15">
        <f>'100% mortgage'!E83-'no mortgage'!E83</f>
        <v>148</v>
      </c>
      <c r="F83" s="15">
        <f>'100% mortgage'!F83-'no mortgage'!F83</f>
        <v>32</v>
      </c>
      <c r="G83" s="15">
        <f>'100% mortgage'!G83-'no mortgage'!G83</f>
        <v>0</v>
      </c>
      <c r="H83" s="81">
        <f t="shared" si="29"/>
        <v>180</v>
      </c>
      <c r="I83" s="15">
        <f t="shared" si="30"/>
        <v>180</v>
      </c>
      <c r="J83" s="15">
        <f t="shared" si="31"/>
        <v>148</v>
      </c>
      <c r="K83" s="84">
        <v>0.175</v>
      </c>
      <c r="L83" s="5"/>
      <c r="M83" s="35">
        <f t="shared" si="32"/>
        <v>0.00036</v>
      </c>
      <c r="N83" s="33">
        <f t="shared" si="33"/>
        <v>0</v>
      </c>
      <c r="O83" s="33">
        <f t="shared" si="34"/>
        <v>6.4E-05</v>
      </c>
      <c r="P83" s="36">
        <f t="shared" si="35"/>
        <v>0.000296</v>
      </c>
      <c r="Q83" s="26">
        <f t="shared" si="36"/>
        <v>0</v>
      </c>
      <c r="R83" s="27">
        <f t="shared" si="37"/>
        <v>0.17777777777777778</v>
      </c>
      <c r="S83" s="28">
        <f t="shared" si="38"/>
        <v>0.8222222222222222</v>
      </c>
      <c r="T83" s="26">
        <f t="shared" si="41"/>
        <v>0</v>
      </c>
      <c r="U83" s="27">
        <f>D83/J83</f>
        <v>0</v>
      </c>
      <c r="V83" s="28">
        <f t="shared" si="42"/>
        <v>1</v>
      </c>
      <c r="W83" s="26">
        <f t="shared" si="43"/>
        <v>0</v>
      </c>
      <c r="X83" s="27">
        <f>D83/500000</f>
        <v>0</v>
      </c>
      <c r="Y83" s="28">
        <f t="shared" si="40"/>
        <v>0.000296</v>
      </c>
      <c r="Z83" s="27"/>
    </row>
    <row r="84" spans="2:26" ht="15.75">
      <c r="B84" s="19" t="s">
        <v>188</v>
      </c>
      <c r="C84" s="15">
        <f>'100% mortgage'!C84-'no mortgage'!C84</f>
        <v>0</v>
      </c>
      <c r="D84" s="15">
        <f>'100% mortgage'!D84-'no mortgage'!D84</f>
        <v>0</v>
      </c>
      <c r="E84" s="15">
        <f>'100% mortgage'!E84-'no mortgage'!E84</f>
        <v>0</v>
      </c>
      <c r="F84" s="15">
        <f>'100% mortgage'!F84-'no mortgage'!F84</f>
        <v>0</v>
      </c>
      <c r="G84" s="15">
        <f>'100% mortgage'!G84-'no mortgage'!G84</f>
        <v>0</v>
      </c>
      <c r="H84" s="81">
        <f>SUM(C84:G84)</f>
        <v>0</v>
      </c>
      <c r="I84" s="15">
        <f>SUM(C84:F84)</f>
        <v>0</v>
      </c>
      <c r="J84" s="15">
        <f>SUM(C84:E84)</f>
        <v>0</v>
      </c>
      <c r="K84" s="84">
        <v>0.19</v>
      </c>
      <c r="L84" s="5"/>
      <c r="M84" s="35">
        <f>H84/500000</f>
        <v>0</v>
      </c>
      <c r="N84" s="33">
        <f>G84/500000</f>
        <v>0</v>
      </c>
      <c r="O84" s="33">
        <f>F84/500000</f>
        <v>0</v>
      </c>
      <c r="P84" s="36">
        <f>J84/500000</f>
        <v>0</v>
      </c>
      <c r="Q84" s="26"/>
      <c r="R84" s="27"/>
      <c r="S84" s="28"/>
      <c r="T84" s="26"/>
      <c r="U84" s="27"/>
      <c r="V84" s="28"/>
      <c r="W84" s="26">
        <f>C84/500000</f>
        <v>0</v>
      </c>
      <c r="X84" s="27">
        <f>D84/500000</f>
        <v>0</v>
      </c>
      <c r="Y84" s="28">
        <f>E84/500000</f>
        <v>0</v>
      </c>
      <c r="Z84" s="27"/>
    </row>
    <row r="85" spans="2:26" ht="15.75">
      <c r="B85" s="12" t="s">
        <v>16</v>
      </c>
      <c r="C85" s="15">
        <f>'100% mortgage'!C85-'no mortgage'!C85</f>
        <v>0</v>
      </c>
      <c r="D85" s="16" t="s">
        <v>43</v>
      </c>
      <c r="E85" s="15">
        <f>'100% mortgage'!E85-'no mortgage'!E85</f>
        <v>585</v>
      </c>
      <c r="F85" s="15">
        <f>'100% mortgage'!F85-'no mortgage'!F85</f>
        <v>50</v>
      </c>
      <c r="G85" s="15">
        <f>'100% mortgage'!G85-'no mortgage'!G85</f>
        <v>0</v>
      </c>
      <c r="H85" s="81">
        <f t="shared" si="29"/>
        <v>635</v>
      </c>
      <c r="I85" s="15">
        <f t="shared" si="30"/>
        <v>635</v>
      </c>
      <c r="J85" s="15">
        <f t="shared" si="31"/>
        <v>585</v>
      </c>
      <c r="K85" s="84">
        <v>0.19</v>
      </c>
      <c r="L85" s="5"/>
      <c r="M85" s="35">
        <f t="shared" si="32"/>
        <v>0.00127</v>
      </c>
      <c r="N85" s="33">
        <f t="shared" si="33"/>
        <v>0</v>
      </c>
      <c r="O85" s="33">
        <f t="shared" si="34"/>
        <v>0.0001</v>
      </c>
      <c r="P85" s="36">
        <f t="shared" si="35"/>
        <v>0.00117</v>
      </c>
      <c r="Q85" s="26">
        <f t="shared" si="36"/>
        <v>0</v>
      </c>
      <c r="R85" s="27">
        <f t="shared" si="37"/>
        <v>0.07874015748031496</v>
      </c>
      <c r="S85" s="28">
        <f t="shared" si="38"/>
        <v>0.9212598425196851</v>
      </c>
      <c r="T85" s="26">
        <f t="shared" si="41"/>
        <v>0</v>
      </c>
      <c r="U85" s="27"/>
      <c r="V85" s="28">
        <f t="shared" si="42"/>
        <v>1</v>
      </c>
      <c r="W85" s="26">
        <f t="shared" si="43"/>
        <v>0</v>
      </c>
      <c r="X85" s="27"/>
      <c r="Y85" s="28">
        <f t="shared" si="40"/>
        <v>0.00117</v>
      </c>
      <c r="Z85" s="27"/>
    </row>
    <row r="86" spans="2:26" ht="15.75">
      <c r="B86" s="12" t="s">
        <v>9</v>
      </c>
      <c r="C86" s="15">
        <f>'100% mortgage'!C86-'no mortgage'!C86</f>
        <v>0</v>
      </c>
      <c r="D86" s="15">
        <f>'100% mortgage'!D86</f>
        <v>313</v>
      </c>
      <c r="E86" s="15">
        <f>'100% mortgage'!E86-'no mortgage'!E86</f>
        <v>859</v>
      </c>
      <c r="F86" s="15">
        <f>'100% mortgage'!F86-'no mortgage'!F86</f>
        <v>216</v>
      </c>
      <c r="G86" s="15">
        <f>'100% mortgage'!G86-'no mortgage'!G86</f>
        <v>8500.000000000007</v>
      </c>
      <c r="H86" s="81">
        <f t="shared" si="29"/>
        <v>9888.000000000007</v>
      </c>
      <c r="I86" s="15">
        <f t="shared" si="30"/>
        <v>1388</v>
      </c>
      <c r="J86" s="15">
        <f t="shared" si="31"/>
        <v>1172</v>
      </c>
      <c r="K86" s="84">
        <v>0.16</v>
      </c>
      <c r="L86" s="5"/>
      <c r="M86" s="35">
        <f t="shared" si="32"/>
        <v>0.019776000000000016</v>
      </c>
      <c r="N86" s="33">
        <f t="shared" si="33"/>
        <v>0.017000000000000015</v>
      </c>
      <c r="O86" s="33"/>
      <c r="P86" s="36">
        <f t="shared" si="35"/>
        <v>0.002344</v>
      </c>
      <c r="Q86" s="26">
        <f t="shared" si="36"/>
        <v>0.8596278317152105</v>
      </c>
      <c r="R86" s="27"/>
      <c r="S86" s="28">
        <f t="shared" si="38"/>
        <v>0.1185275080906148</v>
      </c>
      <c r="T86" s="26">
        <f t="shared" si="41"/>
        <v>0</v>
      </c>
      <c r="U86" s="27">
        <f>D86/J86</f>
        <v>0.26706484641638223</v>
      </c>
      <c r="V86" s="28">
        <f t="shared" si="42"/>
        <v>0.7329351535836177</v>
      </c>
      <c r="W86" s="26">
        <f t="shared" si="43"/>
        <v>0</v>
      </c>
      <c r="X86" s="27">
        <f>D86/500000</f>
        <v>0.000626</v>
      </c>
      <c r="Y86" s="28">
        <f t="shared" si="40"/>
        <v>0.001718</v>
      </c>
      <c r="Z86" s="27"/>
    </row>
    <row r="87" spans="2:26" ht="15.75">
      <c r="B87" s="20" t="s">
        <v>10</v>
      </c>
      <c r="C87" s="22">
        <f>'100% mortgage'!C87-'no mortgage'!C87</f>
        <v>0</v>
      </c>
      <c r="D87" s="22">
        <f>'100% mortgage'!D87-'no mortgage'!D87</f>
        <v>0</v>
      </c>
      <c r="E87" s="22">
        <f>'100% mortgage'!E87-'no mortgage'!E87</f>
        <v>0</v>
      </c>
      <c r="F87" s="22">
        <f>'100% mortgage'!F87-'no mortgage'!F87</f>
        <v>40</v>
      </c>
      <c r="G87" s="138">
        <f>'100% mortgage'!G87-'no mortgage'!G87</f>
        <v>10000</v>
      </c>
      <c r="H87" s="82">
        <f t="shared" si="29"/>
        <v>10040</v>
      </c>
      <c r="I87" s="22">
        <f t="shared" si="30"/>
        <v>40</v>
      </c>
      <c r="J87" s="22">
        <f t="shared" si="31"/>
        <v>0</v>
      </c>
      <c r="K87" s="85">
        <v>0.25</v>
      </c>
      <c r="L87" s="5"/>
      <c r="M87" s="35">
        <f t="shared" si="32"/>
        <v>0.02008</v>
      </c>
      <c r="N87" s="33">
        <f t="shared" si="33"/>
        <v>0.02</v>
      </c>
      <c r="O87" s="33">
        <f>F87/500000</f>
        <v>8E-05</v>
      </c>
      <c r="P87" s="36">
        <f t="shared" si="35"/>
        <v>0</v>
      </c>
      <c r="Q87" s="26">
        <f t="shared" si="36"/>
        <v>0.9960159362549801</v>
      </c>
      <c r="R87" s="27">
        <f>F87/H87</f>
        <v>0.00398406374501992</v>
      </c>
      <c r="S87" s="28">
        <f t="shared" si="38"/>
        <v>0</v>
      </c>
      <c r="T87" s="44"/>
      <c r="U87" s="27"/>
      <c r="V87" s="45"/>
      <c r="W87" s="44">
        <f t="shared" si="43"/>
        <v>0</v>
      </c>
      <c r="X87" s="27">
        <f>D87/500000</f>
        <v>0</v>
      </c>
      <c r="Y87" s="45">
        <f t="shared" si="40"/>
        <v>0</v>
      </c>
      <c r="Z87" s="55"/>
    </row>
    <row r="88" spans="2:26" ht="15.75">
      <c r="B88" s="42" t="s">
        <v>27</v>
      </c>
      <c r="C88" s="70">
        <f>(SUM(C68:C87))/D89</f>
        <v>0</v>
      </c>
      <c r="D88" s="70">
        <f>(SUM(D68:D87))/D89</f>
        <v>53.15</v>
      </c>
      <c r="E88" s="70">
        <f>(SUM(E68:E87))/D89</f>
        <v>620.6875</v>
      </c>
      <c r="F88" s="70">
        <f>(SUM(F68:F87))/D89</f>
        <v>990.1854999999999</v>
      </c>
      <c r="G88" s="70">
        <f>(SUM(G68:G87))/D89</f>
        <v>1864.6500000000003</v>
      </c>
      <c r="H88" s="82">
        <f>(SUM(H68:H87))/D89</f>
        <v>3528.6730000000002</v>
      </c>
      <c r="I88" s="70">
        <f>(SUM(I68:I87))/D89</f>
        <v>1664.023</v>
      </c>
      <c r="J88" s="70">
        <f>(SUM(J68:J87))/D89</f>
        <v>673.8375</v>
      </c>
      <c r="K88" s="41"/>
      <c r="L88" s="29" t="s">
        <v>27</v>
      </c>
      <c r="M88" s="52">
        <f>(SUM(M68:M87))/D89</f>
        <v>0.007057346000000001</v>
      </c>
      <c r="N88" s="53">
        <f>(SUM(N68:N87))/D89</f>
        <v>0.0037293000000000005</v>
      </c>
      <c r="O88" s="53">
        <f>(SUM(O68:O87))/D89</f>
        <v>0.001958771</v>
      </c>
      <c r="P88" s="53">
        <f>(SUM(P68:P87))/D89</f>
        <v>0.001347675</v>
      </c>
      <c r="Q88" s="52">
        <f>(SUM(Q68:Q87))/D89</f>
        <v>0.2263544195606093</v>
      </c>
      <c r="R88" s="53">
        <f>(SUM(R68:R87))/D89</f>
        <v>0.20601473806122694</v>
      </c>
      <c r="S88" s="53">
        <f>(SUM(S68:S87))/D89</f>
        <v>0.41653860936845505</v>
      </c>
      <c r="T88" s="52">
        <f>(SUM(T68:T87))/D89</f>
        <v>0</v>
      </c>
      <c r="U88" s="53">
        <f>(SUM(U68:U87))/D89</f>
        <v>0.11229700612628724</v>
      </c>
      <c r="V88" s="53">
        <f>(SUM(V68:V87))/D89</f>
        <v>0.5877029938737128</v>
      </c>
      <c r="W88" s="52">
        <f>(SUM(W68:W87))/D89</f>
        <v>0</v>
      </c>
      <c r="X88" s="53">
        <f>(SUM(X68:X87))/I89</f>
        <v>0.00016353846153846155</v>
      </c>
      <c r="Y88" s="54">
        <f>(SUM(Y68:Y87))/D89</f>
        <v>0.001241375</v>
      </c>
      <c r="Z88" s="32"/>
    </row>
    <row r="89" spans="2:26" ht="15.75">
      <c r="B89" s="64"/>
      <c r="C89" s="65" t="s">
        <v>44</v>
      </c>
      <c r="D89" s="66">
        <v>20</v>
      </c>
      <c r="E89" s="67"/>
      <c r="F89" s="65"/>
      <c r="G89" s="65"/>
      <c r="H89" s="65" t="s">
        <v>52</v>
      </c>
      <c r="I89" s="66">
        <v>13</v>
      </c>
      <c r="J89" s="68"/>
      <c r="K89" s="41"/>
      <c r="L89" s="3"/>
      <c r="M89" s="3"/>
      <c r="N89" s="3"/>
      <c r="O89" s="3"/>
      <c r="P89" s="3"/>
      <c r="T89" s="50" t="s">
        <v>51</v>
      </c>
      <c r="U89" s="31">
        <f>(SUM(U68:U87))/I89</f>
        <v>0.17276462480967267</v>
      </c>
      <c r="W89" s="47"/>
      <c r="X89" s="46"/>
      <c r="Y89" s="47"/>
      <c r="Z89" s="49"/>
    </row>
    <row r="90" spans="21:26" ht="12.75">
      <c r="U90" s="25"/>
      <c r="V90" s="51"/>
      <c r="W90" s="48"/>
      <c r="Y90" s="48"/>
      <c r="Z90" s="48"/>
    </row>
    <row r="91" spans="21:26" ht="12.75">
      <c r="U91" s="25"/>
      <c r="W91" s="49"/>
      <c r="X91" s="32"/>
      <c r="Y91" s="49"/>
      <c r="Z91" s="49"/>
    </row>
    <row r="93" ht="12.75">
      <c r="D93" s="1"/>
    </row>
    <row r="94" spans="1:26" ht="12.75">
      <c r="A94" s="7"/>
      <c r="B94" s="8"/>
      <c r="C94" s="8"/>
      <c r="D94" s="86" t="s">
        <v>56</v>
      </c>
      <c r="E94" s="10" t="s">
        <v>123</v>
      </c>
      <c r="F94" s="8"/>
      <c r="G94" s="8"/>
      <c r="H94" s="7"/>
      <c r="I94" s="8"/>
      <c r="J94" s="8"/>
      <c r="K94" s="11"/>
      <c r="M94" s="34"/>
      <c r="N94" s="40" t="s">
        <v>28</v>
      </c>
      <c r="O94" s="30"/>
      <c r="P94" s="11"/>
      <c r="Q94" s="7"/>
      <c r="R94" s="30" t="s">
        <v>21</v>
      </c>
      <c r="S94" s="11"/>
      <c r="T94" s="7"/>
      <c r="U94" s="30" t="s">
        <v>24</v>
      </c>
      <c r="V94" s="11"/>
      <c r="W94" s="7"/>
      <c r="X94" s="30" t="s">
        <v>39</v>
      </c>
      <c r="Y94" s="11"/>
      <c r="Z94" s="2"/>
    </row>
    <row r="95" spans="1:26" ht="12.75">
      <c r="A95" s="12"/>
      <c r="C95" s="2"/>
      <c r="D95" s="2"/>
      <c r="E95" s="2"/>
      <c r="F95" s="2"/>
      <c r="G95" s="2"/>
      <c r="H95" s="159"/>
      <c r="I95" s="158" t="s">
        <v>124</v>
      </c>
      <c r="J95" s="2"/>
      <c r="K95" s="13"/>
      <c r="M95" s="37"/>
      <c r="N95" s="38" t="s">
        <v>56</v>
      </c>
      <c r="O95" s="38"/>
      <c r="P95" s="39"/>
      <c r="Q95" s="12"/>
      <c r="R95" s="38" t="s">
        <v>56</v>
      </c>
      <c r="S95" s="13"/>
      <c r="T95" s="12"/>
      <c r="U95" s="38" t="s">
        <v>56</v>
      </c>
      <c r="V95" s="13"/>
      <c r="W95" s="12"/>
      <c r="X95" s="38" t="s">
        <v>56</v>
      </c>
      <c r="Y95" s="13"/>
      <c r="Z95" s="2"/>
    </row>
    <row r="96" spans="1:26" ht="12.75">
      <c r="A96" s="56" t="s">
        <v>11</v>
      </c>
      <c r="B96" s="56" t="s">
        <v>58</v>
      </c>
      <c r="C96" s="58" t="s">
        <v>40</v>
      </c>
      <c r="D96" s="58" t="s">
        <v>32</v>
      </c>
      <c r="E96" s="58" t="s">
        <v>46</v>
      </c>
      <c r="F96" s="58" t="s">
        <v>33</v>
      </c>
      <c r="G96" s="58" t="s">
        <v>17</v>
      </c>
      <c r="H96" s="57" t="s">
        <v>125</v>
      </c>
      <c r="I96" s="58" t="s">
        <v>36</v>
      </c>
      <c r="J96" s="58" t="s">
        <v>42</v>
      </c>
      <c r="K96" s="59" t="s">
        <v>18</v>
      </c>
      <c r="L96" s="23"/>
      <c r="M96" s="57" t="s">
        <v>37</v>
      </c>
      <c r="N96" s="58" t="s">
        <v>22</v>
      </c>
      <c r="O96" s="58" t="s">
        <v>23</v>
      </c>
      <c r="P96" s="60" t="s">
        <v>38</v>
      </c>
      <c r="Q96" s="61" t="s">
        <v>22</v>
      </c>
      <c r="R96" s="62" t="s">
        <v>23</v>
      </c>
      <c r="S96" s="60" t="s">
        <v>38</v>
      </c>
      <c r="T96" s="61" t="s">
        <v>25</v>
      </c>
      <c r="U96" s="62" t="s">
        <v>26</v>
      </c>
      <c r="V96" s="60" t="s">
        <v>47</v>
      </c>
      <c r="W96" s="61" t="s">
        <v>25</v>
      </c>
      <c r="X96" s="62" t="s">
        <v>26</v>
      </c>
      <c r="Y96" s="60" t="s">
        <v>47</v>
      </c>
      <c r="Z96" s="24"/>
    </row>
    <row r="97" spans="1:26" ht="12.75">
      <c r="A97" s="14" t="s">
        <v>12</v>
      </c>
      <c r="B97" s="90">
        <v>150000</v>
      </c>
      <c r="C97" s="15">
        <f>'100% mortgage'!C97-'no mortgage'!C97</f>
        <v>0</v>
      </c>
      <c r="D97" s="16" t="s">
        <v>43</v>
      </c>
      <c r="E97" s="15">
        <f>'100% mortgage'!E97-'no mortgage'!E97</f>
        <v>0</v>
      </c>
      <c r="F97" s="15">
        <f>'100% mortgage'!F97-'no mortgage'!F97</f>
        <v>1800</v>
      </c>
      <c r="G97" s="15">
        <f>'100% mortgage'!G97-'no mortgage'!G97</f>
        <v>0</v>
      </c>
      <c r="H97" s="80">
        <f aca="true" t="shared" si="44" ref="H97:H116">SUM(C97:G97)</f>
        <v>1800</v>
      </c>
      <c r="I97" s="15">
        <f aca="true" t="shared" si="45" ref="I97:I116">SUM(C97:F97)</f>
        <v>1800</v>
      </c>
      <c r="J97" s="15">
        <f aca="true" t="shared" si="46" ref="J97:J116">SUM(C97:E97)</f>
        <v>0</v>
      </c>
      <c r="K97" s="83">
        <v>0.2</v>
      </c>
      <c r="L97" s="4"/>
      <c r="M97" s="35">
        <f aca="true" t="shared" si="47" ref="M97:M116">H97/B97</f>
        <v>0.012</v>
      </c>
      <c r="N97" s="33">
        <f aca="true" t="shared" si="48" ref="N97:N116">G97/B97</f>
        <v>0</v>
      </c>
      <c r="O97" s="33">
        <f aca="true" t="shared" si="49" ref="O97:O116">F97/B97</f>
        <v>0.012</v>
      </c>
      <c r="P97" s="36">
        <f aca="true" t="shared" si="50" ref="P97:P116">J97/B97</f>
        <v>0</v>
      </c>
      <c r="Q97" s="26">
        <f aca="true" t="shared" si="51" ref="Q97:Q116">G97/H97</f>
        <v>0</v>
      </c>
      <c r="R97" s="27">
        <f aca="true" t="shared" si="52" ref="R97:R116">F97/H97</f>
        <v>1</v>
      </c>
      <c r="S97" s="28">
        <f aca="true" t="shared" si="53" ref="S97:S116">J97/H97</f>
        <v>0</v>
      </c>
      <c r="T97" s="26"/>
      <c r="U97" s="27"/>
      <c r="V97" s="28"/>
      <c r="W97" s="26">
        <f aca="true" t="shared" si="54" ref="W97:W116">C97/B97</f>
        <v>0</v>
      </c>
      <c r="X97" s="27"/>
      <c r="Y97" s="28">
        <f aca="true" t="shared" si="55" ref="Y97:Y116">E97/B97</f>
        <v>0</v>
      </c>
      <c r="Z97" s="27"/>
    </row>
    <row r="98" spans="1:26" ht="15.75">
      <c r="A98" s="14" t="s">
        <v>13</v>
      </c>
      <c r="B98" s="133">
        <v>167000</v>
      </c>
      <c r="C98" s="15">
        <f>'100% mortgage'!C98-'no mortgage'!C98</f>
        <v>0</v>
      </c>
      <c r="D98" s="16" t="s">
        <v>43</v>
      </c>
      <c r="E98" s="15">
        <f>'100% mortgage'!E98-'no mortgage'!E98</f>
        <v>714.2466666666664</v>
      </c>
      <c r="F98" s="15">
        <f>'100% mortgage'!F98-'no mortgage'!F98</f>
        <v>339.33333333333337</v>
      </c>
      <c r="G98" s="15">
        <f>'100% mortgage'!G98-'no mortgage'!G98</f>
        <v>0</v>
      </c>
      <c r="H98" s="81">
        <f t="shared" si="44"/>
        <v>1053.58</v>
      </c>
      <c r="I98" s="15">
        <f t="shared" si="45"/>
        <v>1053.58</v>
      </c>
      <c r="J98" s="15">
        <f t="shared" si="46"/>
        <v>714.2466666666664</v>
      </c>
      <c r="K98" s="84">
        <v>0.21</v>
      </c>
      <c r="L98" s="5"/>
      <c r="M98" s="35">
        <f t="shared" si="47"/>
        <v>0.006308862275449101</v>
      </c>
      <c r="N98" s="33">
        <f t="shared" si="48"/>
        <v>0</v>
      </c>
      <c r="O98" s="33">
        <f t="shared" si="49"/>
        <v>0.0020319361277445114</v>
      </c>
      <c r="P98" s="36">
        <f t="shared" si="50"/>
        <v>0.004276926147704589</v>
      </c>
      <c r="Q98" s="26">
        <f t="shared" si="51"/>
        <v>0</v>
      </c>
      <c r="R98" s="27">
        <f t="shared" si="52"/>
        <v>0.32207647576200515</v>
      </c>
      <c r="S98" s="28">
        <f t="shared" si="53"/>
        <v>0.6779235242379947</v>
      </c>
      <c r="T98" s="26">
        <f aca="true" t="shared" si="56" ref="T98:T115">C98/J98</f>
        <v>0</v>
      </c>
      <c r="U98" s="27"/>
      <c r="V98" s="28">
        <f aca="true" t="shared" si="57" ref="V98:V115">E98/J98</f>
        <v>1</v>
      </c>
      <c r="W98" s="26">
        <f t="shared" si="54"/>
        <v>0</v>
      </c>
      <c r="X98" s="27"/>
      <c r="Y98" s="28">
        <f t="shared" si="55"/>
        <v>0.004276926147704589</v>
      </c>
      <c r="Z98" s="27"/>
    </row>
    <row r="99" spans="1:26" ht="15.75">
      <c r="A99" s="14" t="s">
        <v>154</v>
      </c>
      <c r="B99" s="90">
        <v>100000</v>
      </c>
      <c r="C99" s="15">
        <f>'100% mortgage'!C99-'no mortgage'!C99</f>
        <v>0</v>
      </c>
      <c r="D99" s="15">
        <f>'100% mortgage'!D99-'no mortgage'!D99</f>
        <v>0</v>
      </c>
      <c r="E99" s="15">
        <f>'100% mortgage'!E99-'no mortgage'!E99</f>
        <v>500</v>
      </c>
      <c r="F99" s="15">
        <f>'100% mortgage'!F99-'no mortgage'!F99</f>
        <v>0</v>
      </c>
      <c r="G99" s="15">
        <f>'100% mortgage'!G99-'no mortgage'!G99</f>
        <v>0</v>
      </c>
      <c r="H99" s="81">
        <f t="shared" si="44"/>
        <v>500</v>
      </c>
      <c r="I99" s="15">
        <f t="shared" si="45"/>
        <v>500</v>
      </c>
      <c r="J99" s="15">
        <f t="shared" si="46"/>
        <v>500</v>
      </c>
      <c r="K99" s="84">
        <v>0.19</v>
      </c>
      <c r="L99" s="5"/>
      <c r="M99" s="35">
        <f t="shared" si="47"/>
        <v>0.005</v>
      </c>
      <c r="N99" s="33">
        <f t="shared" si="48"/>
        <v>0</v>
      </c>
      <c r="O99" s="33">
        <f t="shared" si="49"/>
        <v>0</v>
      </c>
      <c r="P99" s="36">
        <f t="shared" si="50"/>
        <v>0.005</v>
      </c>
      <c r="Q99" s="26"/>
      <c r="R99" s="27"/>
      <c r="S99" s="28"/>
      <c r="T99" s="26"/>
      <c r="U99" s="27"/>
      <c r="V99" s="28"/>
      <c r="W99" s="26">
        <f t="shared" si="54"/>
        <v>0</v>
      </c>
      <c r="X99" s="27">
        <f>D99/B99</f>
        <v>0</v>
      </c>
      <c r="Y99" s="28">
        <f t="shared" si="55"/>
        <v>0.005</v>
      </c>
      <c r="Z99" s="27"/>
    </row>
    <row r="100" spans="1:26" ht="15.75">
      <c r="A100" s="12" t="s">
        <v>14</v>
      </c>
      <c r="B100" s="89">
        <f>(219260+224225)/2</f>
        <v>221742.5</v>
      </c>
      <c r="C100" s="15">
        <f>'100% mortgage'!C100-'no mortgage'!C100</f>
        <v>0</v>
      </c>
      <c r="D100" s="15">
        <f>'100% mortgage'!D100-'no mortgage'!D100</f>
        <v>0</v>
      </c>
      <c r="E100" s="15">
        <f>'100% mortgage'!E100-'no mortgage'!E100</f>
        <v>0</v>
      </c>
      <c r="F100" s="15">
        <f>'100% mortgage'!F100-'no mortgage'!F100</f>
        <v>3513.1375000000007</v>
      </c>
      <c r="G100" s="15">
        <f>'100% mortgage'!G100-'no mortgage'!G100</f>
        <v>0</v>
      </c>
      <c r="H100" s="81">
        <f t="shared" si="44"/>
        <v>3513.1375000000007</v>
      </c>
      <c r="I100" s="15">
        <f t="shared" si="45"/>
        <v>3513.1375000000007</v>
      </c>
      <c r="J100" s="15">
        <f t="shared" si="46"/>
        <v>0</v>
      </c>
      <c r="K100" s="84">
        <v>0.25</v>
      </c>
      <c r="L100" s="5"/>
      <c r="M100" s="35">
        <f t="shared" si="47"/>
        <v>0.0158433205181686</v>
      </c>
      <c r="N100" s="33">
        <f t="shared" si="48"/>
        <v>0</v>
      </c>
      <c r="O100" s="33">
        <f t="shared" si="49"/>
        <v>0.0158433205181686</v>
      </c>
      <c r="P100" s="36">
        <f t="shared" si="50"/>
        <v>0</v>
      </c>
      <c r="Q100" s="26">
        <f t="shared" si="51"/>
        <v>0</v>
      </c>
      <c r="R100" s="27">
        <f t="shared" si="52"/>
        <v>1</v>
      </c>
      <c r="S100" s="28">
        <f t="shared" si="53"/>
        <v>0</v>
      </c>
      <c r="T100" s="44"/>
      <c r="U100" s="27"/>
      <c r="V100" s="45"/>
      <c r="W100" s="44">
        <f t="shared" si="54"/>
        <v>0</v>
      </c>
      <c r="X100" s="27">
        <f>D100/B100</f>
        <v>0</v>
      </c>
      <c r="Y100" s="45">
        <f t="shared" si="55"/>
        <v>0</v>
      </c>
      <c r="Z100" s="55"/>
    </row>
    <row r="101" spans="1:26" ht="15.75">
      <c r="A101" s="12" t="s">
        <v>0</v>
      </c>
      <c r="B101" s="89">
        <v>297750</v>
      </c>
      <c r="C101" s="15">
        <f>'100% mortgage'!C101-'no mortgage'!C101</f>
        <v>0</v>
      </c>
      <c r="D101" s="15">
        <f>'100% mortgage'!D101-'no mortgage'!D101</f>
        <v>225</v>
      </c>
      <c r="E101" s="15">
        <f>'100% mortgage'!E101-'no mortgage'!E101</f>
        <v>297.75</v>
      </c>
      <c r="F101" s="15">
        <f>'100% mortgage'!F101-'no mortgage'!F101</f>
        <v>0</v>
      </c>
      <c r="G101" s="15">
        <f>'100% mortgage'!G101-'no mortgage'!G101</f>
        <v>0</v>
      </c>
      <c r="H101" s="81">
        <f t="shared" si="44"/>
        <v>522.75</v>
      </c>
      <c r="I101" s="15">
        <f t="shared" si="45"/>
        <v>522.75</v>
      </c>
      <c r="J101" s="15">
        <f t="shared" si="46"/>
        <v>522.75</v>
      </c>
      <c r="K101" s="84">
        <v>0.175</v>
      </c>
      <c r="L101" s="5"/>
      <c r="M101" s="35">
        <f t="shared" si="47"/>
        <v>0.0017556675062972292</v>
      </c>
      <c r="N101" s="33">
        <f t="shared" si="48"/>
        <v>0</v>
      </c>
      <c r="O101" s="33">
        <f t="shared" si="49"/>
        <v>0</v>
      </c>
      <c r="P101" s="36">
        <f t="shared" si="50"/>
        <v>0.0017556675062972292</v>
      </c>
      <c r="Q101" s="26">
        <f t="shared" si="51"/>
        <v>0</v>
      </c>
      <c r="R101" s="27">
        <f t="shared" si="52"/>
        <v>0</v>
      </c>
      <c r="S101" s="28">
        <f t="shared" si="53"/>
        <v>1</v>
      </c>
      <c r="T101" s="26">
        <f t="shared" si="56"/>
        <v>0</v>
      </c>
      <c r="U101" s="27">
        <f>D101/J101</f>
        <v>0.430416068866571</v>
      </c>
      <c r="V101" s="28">
        <f t="shared" si="57"/>
        <v>0.569583931133429</v>
      </c>
      <c r="W101" s="26">
        <f t="shared" si="54"/>
        <v>0</v>
      </c>
      <c r="X101" s="27">
        <f>D101/B101</f>
        <v>0.0007556675062972292</v>
      </c>
      <c r="Y101" s="28">
        <f t="shared" si="55"/>
        <v>0.001</v>
      </c>
      <c r="Z101" s="27"/>
    </row>
    <row r="102" spans="1:26" ht="15.75">
      <c r="A102" s="12" t="s">
        <v>1</v>
      </c>
      <c r="B102" s="89">
        <f>(149452+98060)/2</f>
        <v>123756</v>
      </c>
      <c r="C102" s="15">
        <f>'100% mortgage'!C102-'no mortgage'!C102</f>
        <v>0</v>
      </c>
      <c r="D102" s="15">
        <f>'100% mortgage'!D102-'no mortgage'!D102</f>
        <v>0</v>
      </c>
      <c r="E102" s="15">
        <f>'100% mortgage'!E102-'no mortgage'!E102</f>
        <v>353.2</v>
      </c>
      <c r="F102" s="15">
        <f>'100% mortgage'!F102-'no mortgage'!F102</f>
        <v>44</v>
      </c>
      <c r="G102" s="15">
        <f>'100% mortgage'!G102-'no mortgage'!G102</f>
        <v>0</v>
      </c>
      <c r="H102" s="81">
        <f t="shared" si="44"/>
        <v>397.2</v>
      </c>
      <c r="I102" s="15">
        <f t="shared" si="45"/>
        <v>397.2</v>
      </c>
      <c r="J102" s="15">
        <f t="shared" si="46"/>
        <v>353.2</v>
      </c>
      <c r="K102" s="84"/>
      <c r="L102" s="5"/>
      <c r="M102" s="35">
        <f t="shared" si="47"/>
        <v>0.003209541355570639</v>
      </c>
      <c r="N102" s="33">
        <f t="shared" si="48"/>
        <v>0</v>
      </c>
      <c r="O102" s="33">
        <f t="shared" si="49"/>
        <v>0.00035553831733410905</v>
      </c>
      <c r="P102" s="36">
        <f t="shared" si="50"/>
        <v>0.0028540030382365297</v>
      </c>
      <c r="Q102" s="26">
        <f t="shared" si="51"/>
        <v>0</v>
      </c>
      <c r="R102" s="27">
        <f t="shared" si="52"/>
        <v>0.1107754279959718</v>
      </c>
      <c r="S102" s="28">
        <f t="shared" si="53"/>
        <v>0.8892245720040282</v>
      </c>
      <c r="T102" s="44">
        <f t="shared" si="56"/>
        <v>0</v>
      </c>
      <c r="U102" s="27">
        <f>D102/J102</f>
        <v>0</v>
      </c>
      <c r="V102" s="45">
        <f t="shared" si="57"/>
        <v>1</v>
      </c>
      <c r="W102" s="44">
        <f t="shared" si="54"/>
        <v>0</v>
      </c>
      <c r="X102" s="27">
        <f>D102/B102</f>
        <v>0</v>
      </c>
      <c r="Y102" s="45">
        <f t="shared" si="55"/>
        <v>0.0028540030382365297</v>
      </c>
      <c r="Z102" s="55"/>
    </row>
    <row r="103" spans="1:26" ht="15.75">
      <c r="A103" s="12" t="s">
        <v>2</v>
      </c>
      <c r="B103" s="89">
        <f>(137830+154800)/2*(209.3/129+176.6/119.7)/2</f>
        <v>226629.91335412173</v>
      </c>
      <c r="C103" s="15">
        <f>'100% mortgage'!C103-'no mortgage'!C103</f>
        <v>0</v>
      </c>
      <c r="D103" s="15">
        <f>'100% mortgage'!D103-'no mortgage'!D103</f>
        <v>0</v>
      </c>
      <c r="E103" s="15">
        <f>'100% mortgage'!E103-'no mortgage'!E103</f>
        <v>732.861576203275</v>
      </c>
      <c r="F103" s="15">
        <f>'100% mortgage'!F103-'no mortgage'!F103</f>
        <v>113.3149566770609</v>
      </c>
      <c r="G103" s="15">
        <f>'100% mortgage'!G103-'no mortgage'!G103</f>
        <v>0</v>
      </c>
      <c r="H103" s="81">
        <f t="shared" si="44"/>
        <v>846.1765328803359</v>
      </c>
      <c r="I103" s="15">
        <f t="shared" si="45"/>
        <v>846.1765328803359</v>
      </c>
      <c r="J103" s="15">
        <f t="shared" si="46"/>
        <v>732.861576203275</v>
      </c>
      <c r="K103" s="84">
        <v>0.196</v>
      </c>
      <c r="L103" s="5"/>
      <c r="M103" s="35">
        <f t="shared" si="47"/>
        <v>0.003733737176866579</v>
      </c>
      <c r="N103" s="33">
        <f t="shared" si="48"/>
        <v>0</v>
      </c>
      <c r="O103" s="33">
        <f t="shared" si="49"/>
        <v>0.0005000000000000002</v>
      </c>
      <c r="P103" s="36">
        <f t="shared" si="50"/>
        <v>0.003233737176866579</v>
      </c>
      <c r="Q103" s="26">
        <f t="shared" si="51"/>
        <v>0</v>
      </c>
      <c r="R103" s="27">
        <f t="shared" si="52"/>
        <v>0.13391408562388674</v>
      </c>
      <c r="S103" s="28">
        <f t="shared" si="53"/>
        <v>0.8660859143761133</v>
      </c>
      <c r="T103" s="26">
        <f t="shared" si="56"/>
        <v>0</v>
      </c>
      <c r="U103" s="27">
        <f>D103/J103</f>
        <v>0</v>
      </c>
      <c r="V103" s="28">
        <f t="shared" si="57"/>
        <v>1</v>
      </c>
      <c r="W103" s="26">
        <f t="shared" si="54"/>
        <v>0</v>
      </c>
      <c r="X103" s="27">
        <f>D103/B103</f>
        <v>0</v>
      </c>
      <c r="Y103" s="28">
        <f t="shared" si="55"/>
        <v>0.003233737176866579</v>
      </c>
      <c r="Z103" s="27"/>
    </row>
    <row r="104" spans="1:26" ht="15.75">
      <c r="A104" s="12" t="s">
        <v>3</v>
      </c>
      <c r="B104" s="89">
        <f>((173700+99400)*0.75/2)+((124200+103400)*0.25/2)</f>
        <v>130862.5</v>
      </c>
      <c r="C104" s="15">
        <f>'100% mortgage'!C104-'no mortgage'!C104</f>
        <v>0</v>
      </c>
      <c r="D104" s="16" t="s">
        <v>43</v>
      </c>
      <c r="E104" s="15">
        <f>'100% mortgage'!E104-'no mortgage'!E104</f>
        <v>274.70525</v>
      </c>
      <c r="F104" s="15">
        <f>'100% mortgage'!F104-'no mortgage'!F104</f>
        <v>253.29375000000005</v>
      </c>
      <c r="G104" s="15">
        <f>'100% mortgage'!G104-'no mortgage'!G104</f>
        <v>0</v>
      </c>
      <c r="H104" s="81">
        <f t="shared" si="44"/>
        <v>527.999</v>
      </c>
      <c r="I104" s="15">
        <f t="shared" si="45"/>
        <v>527.999</v>
      </c>
      <c r="J104" s="15">
        <f t="shared" si="46"/>
        <v>274.70525</v>
      </c>
      <c r="K104" s="84">
        <v>0.16</v>
      </c>
      <c r="L104" s="5"/>
      <c r="M104" s="35">
        <f t="shared" si="47"/>
        <v>0.004034761677333079</v>
      </c>
      <c r="N104" s="33">
        <f t="shared" si="48"/>
        <v>0</v>
      </c>
      <c r="O104" s="33">
        <f t="shared" si="49"/>
        <v>0.0019355716878402907</v>
      </c>
      <c r="P104" s="36">
        <f t="shared" si="50"/>
        <v>0.002099189989492788</v>
      </c>
      <c r="Q104" s="26">
        <f t="shared" si="51"/>
        <v>0</v>
      </c>
      <c r="R104" s="27">
        <f t="shared" si="52"/>
        <v>0.4797239199316666</v>
      </c>
      <c r="S104" s="28">
        <f t="shared" si="53"/>
        <v>0.5202760800683334</v>
      </c>
      <c r="T104" s="26">
        <f t="shared" si="56"/>
        <v>0</v>
      </c>
      <c r="U104" s="27"/>
      <c r="V104" s="28">
        <f t="shared" si="57"/>
        <v>1</v>
      </c>
      <c r="W104" s="26">
        <f t="shared" si="54"/>
        <v>0</v>
      </c>
      <c r="X104" s="27"/>
      <c r="Y104" s="28">
        <f t="shared" si="55"/>
        <v>0.002099189989492788</v>
      </c>
      <c r="Z104" s="27"/>
    </row>
    <row r="105" spans="1:26" ht="15.75">
      <c r="A105" s="12" t="s">
        <v>15</v>
      </c>
      <c r="B105" s="90">
        <v>130000</v>
      </c>
      <c r="C105" s="15">
        <f>'100% mortgage'!C105-'no mortgage'!C105</f>
        <v>0</v>
      </c>
      <c r="D105" s="15">
        <f>'100% mortgage'!D105-'no mortgage'!D105</f>
        <v>0</v>
      </c>
      <c r="E105" s="15">
        <f>'100% mortgage'!E105-'no mortgage'!E105</f>
        <v>500</v>
      </c>
      <c r="F105" s="15">
        <f>'100% mortgage'!F105-'no mortgage'!F105</f>
        <v>1007.5</v>
      </c>
      <c r="G105" s="15">
        <f>'100% mortgage'!G105-'no mortgage'!G105</f>
        <v>0</v>
      </c>
      <c r="H105" s="81">
        <f t="shared" si="44"/>
        <v>1507.5</v>
      </c>
      <c r="I105" s="15">
        <f t="shared" si="45"/>
        <v>1507.5</v>
      </c>
      <c r="J105" s="15">
        <f t="shared" si="46"/>
        <v>500</v>
      </c>
      <c r="K105" s="84">
        <v>0.19</v>
      </c>
      <c r="L105" s="5"/>
      <c r="M105" s="35">
        <f t="shared" si="47"/>
        <v>0.011596153846153846</v>
      </c>
      <c r="N105" s="33">
        <f t="shared" si="48"/>
        <v>0</v>
      </c>
      <c r="O105" s="33">
        <f t="shared" si="49"/>
        <v>0.00775</v>
      </c>
      <c r="P105" s="36">
        <f t="shared" si="50"/>
        <v>0.0038461538461538464</v>
      </c>
      <c r="Q105" s="26">
        <f t="shared" si="51"/>
        <v>0</v>
      </c>
      <c r="R105" s="27">
        <f t="shared" si="52"/>
        <v>0.6683250414593698</v>
      </c>
      <c r="S105" s="28">
        <f t="shared" si="53"/>
        <v>0.33167495854063017</v>
      </c>
      <c r="T105" s="26">
        <f t="shared" si="56"/>
        <v>0</v>
      </c>
      <c r="U105" s="27">
        <f>D105/J105</f>
        <v>0</v>
      </c>
      <c r="V105" s="28">
        <f t="shared" si="57"/>
        <v>1</v>
      </c>
      <c r="W105" s="26">
        <f t="shared" si="54"/>
        <v>0</v>
      </c>
      <c r="X105" s="27">
        <f>D105/B105</f>
        <v>0</v>
      </c>
      <c r="Y105" s="28">
        <f t="shared" si="55"/>
        <v>0.0038461538461538464</v>
      </c>
      <c r="Z105" s="27"/>
    </row>
    <row r="106" spans="1:26" ht="15.75">
      <c r="A106" s="12" t="s">
        <v>19</v>
      </c>
      <c r="B106" s="90">
        <v>100000</v>
      </c>
      <c r="C106" s="15">
        <f>'100% mortgage'!C106-'no mortgage'!C106</f>
        <v>0</v>
      </c>
      <c r="D106" s="16" t="s">
        <v>43</v>
      </c>
      <c r="E106" s="15">
        <f>'100% mortgage'!E106-'no mortgage'!E106</f>
        <v>1040</v>
      </c>
      <c r="F106" s="15">
        <f>'100% mortgage'!F106-'no mortgage'!F106</f>
        <v>44</v>
      </c>
      <c r="G106" s="15">
        <f>'100% mortgage'!G106-'no mortgage'!G106</f>
        <v>0</v>
      </c>
      <c r="H106" s="81">
        <f t="shared" si="44"/>
        <v>1084</v>
      </c>
      <c r="I106" s="15">
        <f t="shared" si="45"/>
        <v>1084</v>
      </c>
      <c r="J106" s="15">
        <f t="shared" si="46"/>
        <v>1040</v>
      </c>
      <c r="K106" s="84">
        <v>0.2</v>
      </c>
      <c r="L106" s="5"/>
      <c r="M106" s="35">
        <f t="shared" si="47"/>
        <v>0.01084</v>
      </c>
      <c r="N106" s="33">
        <f t="shared" si="48"/>
        <v>0</v>
      </c>
      <c r="O106" s="33">
        <f t="shared" si="49"/>
        <v>0.00044</v>
      </c>
      <c r="P106" s="36">
        <f t="shared" si="50"/>
        <v>0.0104</v>
      </c>
      <c r="Q106" s="26">
        <f t="shared" si="51"/>
        <v>0</v>
      </c>
      <c r="R106" s="27">
        <f t="shared" si="52"/>
        <v>0.04059040590405904</v>
      </c>
      <c r="S106" s="28">
        <f t="shared" si="53"/>
        <v>0.959409594095941</v>
      </c>
      <c r="T106" s="26">
        <f t="shared" si="56"/>
        <v>0</v>
      </c>
      <c r="U106" s="27"/>
      <c r="V106" s="28">
        <f t="shared" si="57"/>
        <v>1</v>
      </c>
      <c r="W106" s="26">
        <f t="shared" si="54"/>
        <v>0</v>
      </c>
      <c r="X106" s="27"/>
      <c r="Y106" s="28">
        <f t="shared" si="55"/>
        <v>0.0104</v>
      </c>
      <c r="Z106" s="27"/>
    </row>
    <row r="107" spans="1:26" ht="15.75">
      <c r="A107" s="12" t="s">
        <v>4</v>
      </c>
      <c r="B107" s="89">
        <f>(276221+330399)/2</f>
        <v>303310</v>
      </c>
      <c r="C107" s="15">
        <f>'100% mortgage'!C107-'no mortgage'!C107</f>
        <v>0</v>
      </c>
      <c r="D107" s="15">
        <f>'100% mortgage'!D107-'no mortgage'!D107</f>
        <v>157.3520000000001</v>
      </c>
      <c r="E107" s="15">
        <f>'100% mortgage'!E107-'no mortgage'!E107</f>
        <v>0</v>
      </c>
      <c r="F107" s="15">
        <f>'100% mortgage'!F107-'no mortgage'!F107</f>
        <v>0</v>
      </c>
      <c r="G107" s="15">
        <f>'100% mortgage'!G107-'no mortgage'!G107</f>
        <v>0</v>
      </c>
      <c r="H107" s="81">
        <f t="shared" si="44"/>
        <v>157.3520000000001</v>
      </c>
      <c r="I107" s="15">
        <f t="shared" si="45"/>
        <v>157.3520000000001</v>
      </c>
      <c r="J107" s="15">
        <f t="shared" si="46"/>
        <v>157.3520000000001</v>
      </c>
      <c r="K107" s="84">
        <v>0.21</v>
      </c>
      <c r="L107" s="5"/>
      <c r="M107" s="35">
        <f t="shared" si="47"/>
        <v>0.0005187827635092813</v>
      </c>
      <c r="N107" s="33">
        <f t="shared" si="48"/>
        <v>0</v>
      </c>
      <c r="O107" s="33">
        <f t="shared" si="49"/>
        <v>0</v>
      </c>
      <c r="P107" s="36">
        <f t="shared" si="50"/>
        <v>0.0005187827635092813</v>
      </c>
      <c r="Q107" s="26">
        <f t="shared" si="51"/>
        <v>0</v>
      </c>
      <c r="R107" s="27">
        <f t="shared" si="52"/>
        <v>0</v>
      </c>
      <c r="S107" s="28">
        <f t="shared" si="53"/>
        <v>1</v>
      </c>
      <c r="T107" s="26">
        <f t="shared" si="56"/>
        <v>0</v>
      </c>
      <c r="U107" s="27">
        <f>D107/J107</f>
        <v>1</v>
      </c>
      <c r="V107" s="28">
        <f t="shared" si="57"/>
        <v>0</v>
      </c>
      <c r="W107" s="26">
        <f t="shared" si="54"/>
        <v>0</v>
      </c>
      <c r="X107" s="27">
        <f>D107/B107</f>
        <v>0.0005187827635092813</v>
      </c>
      <c r="Y107" s="28">
        <f t="shared" si="55"/>
        <v>0</v>
      </c>
      <c r="Z107" s="27"/>
    </row>
    <row r="108" spans="1:26" ht="15.75">
      <c r="A108" s="12" t="s">
        <v>5</v>
      </c>
      <c r="B108" s="89">
        <v>129532</v>
      </c>
      <c r="C108" s="15">
        <f>'100% mortgage'!C108-'no mortgage'!C108</f>
        <v>0</v>
      </c>
      <c r="D108" s="16" t="s">
        <v>43</v>
      </c>
      <c r="E108" s="15">
        <f>'100% mortgage'!E108-'no mortgage'!E108</f>
        <v>1303.8784</v>
      </c>
      <c r="F108" s="15">
        <f>'100% mortgage'!F108-'no mortgage'!F108</f>
        <v>35</v>
      </c>
      <c r="G108" s="15">
        <f>'100% mortgage'!G108-'no mortgage'!G108</f>
        <v>168</v>
      </c>
      <c r="H108" s="81">
        <f t="shared" si="44"/>
        <v>1506.8784</v>
      </c>
      <c r="I108" s="15">
        <f t="shared" si="45"/>
        <v>1338.8784</v>
      </c>
      <c r="J108" s="15">
        <f t="shared" si="46"/>
        <v>1303.8784</v>
      </c>
      <c r="K108" s="84">
        <v>0.2</v>
      </c>
      <c r="L108" s="5"/>
      <c r="M108" s="35">
        <f t="shared" si="47"/>
        <v>0.011633252014946114</v>
      </c>
      <c r="N108" s="33">
        <f t="shared" si="48"/>
        <v>0.0012969768088194422</v>
      </c>
      <c r="O108" s="33">
        <f t="shared" si="49"/>
        <v>0.0002702035018373838</v>
      </c>
      <c r="P108" s="36">
        <f t="shared" si="50"/>
        <v>0.010066071704289288</v>
      </c>
      <c r="Q108" s="26">
        <f t="shared" si="51"/>
        <v>0.11148875715518916</v>
      </c>
      <c r="R108" s="27">
        <f t="shared" si="52"/>
        <v>0.023226824407331075</v>
      </c>
      <c r="S108" s="28">
        <f t="shared" si="53"/>
        <v>0.8652844184374797</v>
      </c>
      <c r="T108" s="26">
        <f t="shared" si="56"/>
        <v>0</v>
      </c>
      <c r="U108" s="27"/>
      <c r="V108" s="28">
        <f t="shared" si="57"/>
        <v>1</v>
      </c>
      <c r="W108" s="26">
        <f t="shared" si="54"/>
        <v>0</v>
      </c>
      <c r="X108" s="27"/>
      <c r="Y108" s="28">
        <f t="shared" si="55"/>
        <v>0.010066071704289288</v>
      </c>
      <c r="Z108" s="27"/>
    </row>
    <row r="109" spans="1:26" ht="15.75">
      <c r="A109" s="12" t="s">
        <v>6</v>
      </c>
      <c r="B109" s="133">
        <v>202000</v>
      </c>
      <c r="C109" s="15">
        <f>'100% mortgage'!C109-'no mortgage'!C109</f>
        <v>0</v>
      </c>
      <c r="D109" s="16" t="s">
        <v>43</v>
      </c>
      <c r="E109" s="15">
        <f>'100% mortgage'!E109-'no mortgage'!E109</f>
        <v>627.24</v>
      </c>
      <c r="F109" s="15">
        <f>'100% mortgage'!F109-'no mortgage'!F109</f>
        <v>73</v>
      </c>
      <c r="G109" s="15">
        <f>'100% mortgage'!G109-'no mortgage'!G109</f>
        <v>0</v>
      </c>
      <c r="H109" s="81">
        <f t="shared" si="44"/>
        <v>700.24</v>
      </c>
      <c r="I109" s="15">
        <f t="shared" si="45"/>
        <v>700.24</v>
      </c>
      <c r="J109" s="15">
        <f t="shared" si="46"/>
        <v>627.24</v>
      </c>
      <c r="K109" s="84">
        <v>0.19</v>
      </c>
      <c r="L109" s="5"/>
      <c r="M109" s="35">
        <f t="shared" si="47"/>
        <v>0.003466534653465347</v>
      </c>
      <c r="N109" s="33">
        <f t="shared" si="48"/>
        <v>0</v>
      </c>
      <c r="O109" s="33">
        <f t="shared" si="49"/>
        <v>0.0003613861386138614</v>
      </c>
      <c r="P109" s="36">
        <f t="shared" si="50"/>
        <v>0.003105148514851485</v>
      </c>
      <c r="Q109" s="26">
        <f t="shared" si="51"/>
        <v>0</v>
      </c>
      <c r="R109" s="27">
        <f t="shared" si="52"/>
        <v>0.104249971438364</v>
      </c>
      <c r="S109" s="28">
        <f t="shared" si="53"/>
        <v>0.895750028561636</v>
      </c>
      <c r="T109" s="26">
        <f t="shared" si="56"/>
        <v>0</v>
      </c>
      <c r="U109" s="27"/>
      <c r="V109" s="28">
        <f t="shared" si="57"/>
        <v>1</v>
      </c>
      <c r="W109" s="26">
        <f t="shared" si="54"/>
        <v>0</v>
      </c>
      <c r="X109" s="27"/>
      <c r="Y109" s="28">
        <f t="shared" si="55"/>
        <v>0.003105148514851485</v>
      </c>
      <c r="Z109" s="27"/>
    </row>
    <row r="110" spans="1:26" ht="15.75">
      <c r="A110" s="12" t="s">
        <v>7</v>
      </c>
      <c r="B110" s="90">
        <v>100000</v>
      </c>
      <c r="C110" s="15">
        <f>'100% mortgage'!C110-'no mortgage'!C110</f>
        <v>0</v>
      </c>
      <c r="D110" s="15">
        <f>'100% mortgage'!D110</f>
        <v>250</v>
      </c>
      <c r="E110" s="15">
        <f>'100% mortgage'!E110-'no mortgage'!E110</f>
        <v>0</v>
      </c>
      <c r="F110" s="15">
        <f>'100% mortgage'!F110-'no mortgage'!F110</f>
        <v>0</v>
      </c>
      <c r="G110" s="15">
        <f>'100% mortgage'!G110-'no mortgage'!G110</f>
        <v>25</v>
      </c>
      <c r="H110" s="81">
        <f t="shared" si="44"/>
        <v>275</v>
      </c>
      <c r="I110" s="15">
        <f t="shared" si="45"/>
        <v>250</v>
      </c>
      <c r="J110" s="15">
        <f t="shared" si="46"/>
        <v>250</v>
      </c>
      <c r="K110" s="84">
        <v>0.22</v>
      </c>
      <c r="L110" s="5"/>
      <c r="M110" s="35">
        <f t="shared" si="47"/>
        <v>0.00275</v>
      </c>
      <c r="N110" s="33">
        <f t="shared" si="48"/>
        <v>0.00025</v>
      </c>
      <c r="O110" s="33">
        <f t="shared" si="49"/>
        <v>0</v>
      </c>
      <c r="P110" s="36">
        <f t="shared" si="50"/>
        <v>0.0025</v>
      </c>
      <c r="Q110" s="26">
        <f t="shared" si="51"/>
        <v>0.09090909090909091</v>
      </c>
      <c r="R110" s="27">
        <f t="shared" si="52"/>
        <v>0</v>
      </c>
      <c r="S110" s="28">
        <f t="shared" si="53"/>
        <v>0.9090909090909091</v>
      </c>
      <c r="T110" s="26">
        <f t="shared" si="56"/>
        <v>0</v>
      </c>
      <c r="U110" s="27">
        <f>D110/J110</f>
        <v>1</v>
      </c>
      <c r="V110" s="28">
        <f t="shared" si="57"/>
        <v>0</v>
      </c>
      <c r="W110" s="26">
        <f t="shared" si="54"/>
        <v>0</v>
      </c>
      <c r="X110" s="27">
        <f>D110/B110</f>
        <v>0.0025</v>
      </c>
      <c r="Y110" s="28">
        <f t="shared" si="55"/>
        <v>0</v>
      </c>
      <c r="Z110" s="27"/>
    </row>
    <row r="111" spans="1:26" ht="15.75">
      <c r="A111" s="12" t="s">
        <v>189</v>
      </c>
      <c r="B111" s="90">
        <v>100000</v>
      </c>
      <c r="C111" s="15">
        <f>'100% mortgage'!C111-'no mortgage'!C111</f>
        <v>0</v>
      </c>
      <c r="D111" s="15">
        <f>'100% mortgage'!D111</f>
        <v>275</v>
      </c>
      <c r="E111" s="15">
        <f>'100% mortgage'!E111-'no mortgage'!E111</f>
        <v>87</v>
      </c>
      <c r="F111" s="15">
        <f>'100% mortgage'!F111-'no mortgage'!F111</f>
        <v>135</v>
      </c>
      <c r="G111" s="15">
        <f>'100% mortgage'!G111-'no mortgage'!G111</f>
        <v>600</v>
      </c>
      <c r="H111" s="81">
        <f>SUM(C111:G111)</f>
        <v>1097</v>
      </c>
      <c r="I111" s="15">
        <f>SUM(C111:F111)</f>
        <v>497</v>
      </c>
      <c r="J111" s="15">
        <f>SUM(C111:E111)</f>
        <v>362</v>
      </c>
      <c r="K111" s="84">
        <v>0.21</v>
      </c>
      <c r="L111" s="5"/>
      <c r="M111" s="35">
        <f>H111/B111</f>
        <v>0.01097</v>
      </c>
      <c r="N111" s="33">
        <f>G111/B111</f>
        <v>0.006</v>
      </c>
      <c r="O111" s="33">
        <f>F111/B111</f>
        <v>0.00135</v>
      </c>
      <c r="P111" s="36">
        <f>J111/B111</f>
        <v>0.00362</v>
      </c>
      <c r="Q111" s="26">
        <f>G111/H111</f>
        <v>0.5469462169553327</v>
      </c>
      <c r="R111" s="27">
        <f>F111/H111</f>
        <v>0.12306289881494986</v>
      </c>
      <c r="S111" s="28">
        <f>J111/H111</f>
        <v>0.3299908842297174</v>
      </c>
      <c r="T111" s="26">
        <f>C111/J111</f>
        <v>0</v>
      </c>
      <c r="U111" s="27">
        <f>D111/J111</f>
        <v>0.7596685082872928</v>
      </c>
      <c r="V111" s="28">
        <f>E111/J111</f>
        <v>0.24033149171270718</v>
      </c>
      <c r="W111" s="26">
        <f>C111/B111</f>
        <v>0</v>
      </c>
      <c r="X111" s="27">
        <f>D111/B111</f>
        <v>0.00275</v>
      </c>
      <c r="Y111" s="28">
        <f>E111/B111</f>
        <v>0.00087</v>
      </c>
      <c r="Z111" s="27"/>
    </row>
    <row r="112" spans="1:26" ht="15.75">
      <c r="A112" s="19" t="s">
        <v>8</v>
      </c>
      <c r="B112" s="89">
        <v>193860</v>
      </c>
      <c r="C112" s="15">
        <f>'100% mortgage'!C112-'no mortgage'!C112</f>
        <v>0</v>
      </c>
      <c r="D112" s="15">
        <f>'100% mortgage'!D112-'no mortgage'!D112</f>
        <v>0</v>
      </c>
      <c r="E112" s="15">
        <f>'100% mortgage'!E112-'no mortgage'!E112</f>
        <v>148.25146666666683</v>
      </c>
      <c r="F112" s="15">
        <f>'100% mortgage'!F112-'no mortgage'!F112</f>
        <v>33</v>
      </c>
      <c r="G112" s="15">
        <f>'100% mortgage'!G112-'no mortgage'!G112</f>
        <v>0</v>
      </c>
      <c r="H112" s="81">
        <f t="shared" si="44"/>
        <v>181.25146666666683</v>
      </c>
      <c r="I112" s="15">
        <f t="shared" si="45"/>
        <v>181.25146666666683</v>
      </c>
      <c r="J112" s="15">
        <f t="shared" si="46"/>
        <v>148.25146666666683</v>
      </c>
      <c r="K112" s="84">
        <v>0.175</v>
      </c>
      <c r="L112" s="5"/>
      <c r="M112" s="35">
        <f t="shared" si="47"/>
        <v>0.0009349606245056579</v>
      </c>
      <c r="N112" s="33">
        <f t="shared" si="48"/>
        <v>0</v>
      </c>
      <c r="O112" s="33">
        <f t="shared" si="49"/>
        <v>0.00017022593624264933</v>
      </c>
      <c r="P112" s="36">
        <f t="shared" si="50"/>
        <v>0.0007647346882630085</v>
      </c>
      <c r="Q112" s="26">
        <f t="shared" si="51"/>
        <v>0</v>
      </c>
      <c r="R112" s="27">
        <f t="shared" si="52"/>
        <v>0.18206749223546498</v>
      </c>
      <c r="S112" s="28">
        <f t="shared" si="53"/>
        <v>0.8179325077645351</v>
      </c>
      <c r="T112" s="26">
        <f t="shared" si="56"/>
        <v>0</v>
      </c>
      <c r="U112" s="27">
        <f>D112/J112</f>
        <v>0</v>
      </c>
      <c r="V112" s="28">
        <f t="shared" si="57"/>
        <v>1</v>
      </c>
      <c r="W112" s="26">
        <f t="shared" si="54"/>
        <v>0</v>
      </c>
      <c r="X112" s="27">
        <f>D112/B112</f>
        <v>0</v>
      </c>
      <c r="Y112" s="28">
        <f t="shared" si="55"/>
        <v>0.0007647346882630085</v>
      </c>
      <c r="Z112" s="27"/>
    </row>
    <row r="113" spans="1:26" ht="15.75">
      <c r="A113" s="19" t="s">
        <v>188</v>
      </c>
      <c r="B113" s="90">
        <v>100000</v>
      </c>
      <c r="C113" s="15">
        <f>'100% mortgage'!C113-'no mortgage'!C113</f>
        <v>0</v>
      </c>
      <c r="D113" s="15">
        <f>'100% mortgage'!D113-'no mortgage'!D113</f>
        <v>0</v>
      </c>
      <c r="E113" s="15">
        <f>'100% mortgage'!E113-'no mortgage'!E113</f>
        <v>0</v>
      </c>
      <c r="F113" s="15">
        <f>'100% mortgage'!F113-'no mortgage'!F113</f>
        <v>0</v>
      </c>
      <c r="G113" s="15">
        <f>'100% mortgage'!G113-'no mortgage'!G113</f>
        <v>0</v>
      </c>
      <c r="H113" s="81">
        <f>SUM(C113:G113)</f>
        <v>0</v>
      </c>
      <c r="I113" s="15">
        <f>SUM(C113:F113)</f>
        <v>0</v>
      </c>
      <c r="J113" s="15">
        <f>SUM(C113:E113)</f>
        <v>0</v>
      </c>
      <c r="K113" s="84">
        <v>0.19</v>
      </c>
      <c r="L113" s="5"/>
      <c r="M113" s="35">
        <f>H113/B113</f>
        <v>0</v>
      </c>
      <c r="N113" s="33">
        <f>G113/B113</f>
        <v>0</v>
      </c>
      <c r="O113" s="33">
        <f>F113/B113</f>
        <v>0</v>
      </c>
      <c r="P113" s="36">
        <f>J113/B113</f>
        <v>0</v>
      </c>
      <c r="Q113" s="26"/>
      <c r="R113" s="27"/>
      <c r="S113" s="28"/>
      <c r="T113" s="26"/>
      <c r="U113" s="27"/>
      <c r="V113" s="28"/>
      <c r="W113" s="26">
        <f>C113/B113</f>
        <v>0</v>
      </c>
      <c r="X113" s="27">
        <f>D113/B113</f>
        <v>0</v>
      </c>
      <c r="Y113" s="28">
        <f>E113/B113</f>
        <v>0</v>
      </c>
      <c r="Z113" s="27"/>
    </row>
    <row r="114" spans="1:26" ht="15.75">
      <c r="A114" s="12" t="s">
        <v>16</v>
      </c>
      <c r="B114" s="90">
        <v>100000</v>
      </c>
      <c r="C114" s="15">
        <f>'100% mortgage'!C114-'no mortgage'!C114</f>
        <v>0</v>
      </c>
      <c r="D114" s="16" t="s">
        <v>43</v>
      </c>
      <c r="E114" s="15">
        <f>'100% mortgage'!E114-'no mortgage'!E114</f>
        <v>225</v>
      </c>
      <c r="F114" s="15">
        <f>'100% mortgage'!F114-'no mortgage'!F114</f>
        <v>50</v>
      </c>
      <c r="G114" s="15">
        <f>'100% mortgage'!G114-'no mortgage'!G114</f>
        <v>0</v>
      </c>
      <c r="H114" s="81">
        <f t="shared" si="44"/>
        <v>275</v>
      </c>
      <c r="I114" s="15">
        <f t="shared" si="45"/>
        <v>275</v>
      </c>
      <c r="J114" s="15">
        <f t="shared" si="46"/>
        <v>225</v>
      </c>
      <c r="K114" s="84">
        <v>0.19</v>
      </c>
      <c r="L114" s="5"/>
      <c r="M114" s="35">
        <f t="shared" si="47"/>
        <v>0.00275</v>
      </c>
      <c r="N114" s="33">
        <f t="shared" si="48"/>
        <v>0</v>
      </c>
      <c r="O114" s="33">
        <f t="shared" si="49"/>
        <v>0.0005</v>
      </c>
      <c r="P114" s="36">
        <f t="shared" si="50"/>
        <v>0.00225</v>
      </c>
      <c r="Q114" s="26">
        <f t="shared" si="51"/>
        <v>0</v>
      </c>
      <c r="R114" s="27">
        <f t="shared" si="52"/>
        <v>0.18181818181818182</v>
      </c>
      <c r="S114" s="28">
        <f t="shared" si="53"/>
        <v>0.8181818181818182</v>
      </c>
      <c r="T114" s="26">
        <f t="shared" si="56"/>
        <v>0</v>
      </c>
      <c r="U114" s="27"/>
      <c r="V114" s="28">
        <f t="shared" si="57"/>
        <v>1</v>
      </c>
      <c r="W114" s="26">
        <f t="shared" si="54"/>
        <v>0</v>
      </c>
      <c r="X114" s="27"/>
      <c r="Y114" s="28">
        <f t="shared" si="55"/>
        <v>0.00225</v>
      </c>
      <c r="Z114" s="27"/>
    </row>
    <row r="115" spans="1:26" ht="15.75">
      <c r="A115" s="12" t="s">
        <v>9</v>
      </c>
      <c r="B115" s="89">
        <v>172630</v>
      </c>
      <c r="C115" s="15">
        <f>'100% mortgage'!C115-'no mortgage'!C115</f>
        <v>0</v>
      </c>
      <c r="D115" s="15">
        <f>'100% mortgage'!D115</f>
        <v>164.8624</v>
      </c>
      <c r="E115" s="15">
        <f>'100% mortgage'!E115-'no mortgage'!E115</f>
        <v>671.314</v>
      </c>
      <c r="F115" s="15">
        <f>'100% mortgage'!F115-'no mortgage'!F115</f>
        <v>166.32619999999997</v>
      </c>
      <c r="G115" s="15">
        <f>'100% mortgage'!G115-'no mortgage'!G115</f>
        <v>2934.710000000001</v>
      </c>
      <c r="H115" s="81">
        <f t="shared" si="44"/>
        <v>3937.2126000000007</v>
      </c>
      <c r="I115" s="15">
        <f t="shared" si="45"/>
        <v>1002.5025999999999</v>
      </c>
      <c r="J115" s="15">
        <f t="shared" si="46"/>
        <v>836.1764</v>
      </c>
      <c r="K115" s="84">
        <v>0.16</v>
      </c>
      <c r="L115" s="5"/>
      <c r="M115" s="35">
        <f t="shared" si="47"/>
        <v>0.022807232810056192</v>
      </c>
      <c r="N115" s="33">
        <f t="shared" si="48"/>
        <v>0.017000000000000005</v>
      </c>
      <c r="O115" s="33">
        <f t="shared" si="49"/>
        <v>0.0009634837513757746</v>
      </c>
      <c r="P115" s="36">
        <f t="shared" si="50"/>
        <v>0.004843749058680414</v>
      </c>
      <c r="Q115" s="26">
        <f t="shared" si="51"/>
        <v>0.7453775800676855</v>
      </c>
      <c r="R115" s="27">
        <f t="shared" si="52"/>
        <v>0.042244658060882956</v>
      </c>
      <c r="S115" s="28">
        <f t="shared" si="53"/>
        <v>0.21237776187143154</v>
      </c>
      <c r="T115" s="26">
        <f t="shared" si="56"/>
        <v>0</v>
      </c>
      <c r="U115" s="27">
        <f>D115/J115</f>
        <v>0.19716222557823926</v>
      </c>
      <c r="V115" s="28">
        <f t="shared" si="57"/>
        <v>0.8028377744217607</v>
      </c>
      <c r="W115" s="26">
        <f t="shared" si="54"/>
        <v>0</v>
      </c>
      <c r="X115" s="27">
        <f>D115/B115</f>
        <v>0.0009550043445519319</v>
      </c>
      <c r="Y115" s="28">
        <f t="shared" si="55"/>
        <v>0.003888744714128483</v>
      </c>
      <c r="Z115" s="27"/>
    </row>
    <row r="116" spans="1:26" ht="15.75">
      <c r="A116" s="20" t="s">
        <v>10</v>
      </c>
      <c r="B116" s="89">
        <f>(180000+115000)/2</f>
        <v>147500</v>
      </c>
      <c r="C116" s="22">
        <f>'100% mortgage'!C116-'no mortgage'!C116</f>
        <v>0</v>
      </c>
      <c r="D116" s="22">
        <f>'100% mortgage'!D116-'no mortgage'!D116</f>
        <v>0</v>
      </c>
      <c r="E116" s="22">
        <f>'100% mortgage'!E116-'no mortgage'!E116</f>
        <v>0</v>
      </c>
      <c r="F116" s="22">
        <f>'100% mortgage'!F116-'no mortgage'!F116</f>
        <v>40</v>
      </c>
      <c r="G116" s="138">
        <f>'100% mortgage'!G116-'no mortgage'!G116</f>
        <v>2950.000000000001</v>
      </c>
      <c r="H116" s="82">
        <f t="shared" si="44"/>
        <v>2990.000000000001</v>
      </c>
      <c r="I116" s="22">
        <f t="shared" si="45"/>
        <v>40</v>
      </c>
      <c r="J116" s="22">
        <f t="shared" si="46"/>
        <v>0</v>
      </c>
      <c r="K116" s="85">
        <v>0.25</v>
      </c>
      <c r="L116" s="5"/>
      <c r="M116" s="72">
        <f t="shared" si="47"/>
        <v>0.020271186440677973</v>
      </c>
      <c r="N116" s="33">
        <f t="shared" si="48"/>
        <v>0.020000000000000007</v>
      </c>
      <c r="O116" s="33">
        <f t="shared" si="49"/>
        <v>0.0002711864406779661</v>
      </c>
      <c r="P116" s="36">
        <f t="shared" si="50"/>
        <v>0</v>
      </c>
      <c r="Q116" s="26">
        <f t="shared" si="51"/>
        <v>0.9866220735785953</v>
      </c>
      <c r="R116" s="27">
        <f t="shared" si="52"/>
        <v>0.013377926421404679</v>
      </c>
      <c r="S116" s="28">
        <f t="shared" si="53"/>
        <v>0</v>
      </c>
      <c r="T116" s="44"/>
      <c r="U116" s="27"/>
      <c r="V116" s="45"/>
      <c r="W116" s="44">
        <f t="shared" si="54"/>
        <v>0</v>
      </c>
      <c r="X116" s="27">
        <f>D116/B116</f>
        <v>0</v>
      </c>
      <c r="Y116" s="45">
        <f t="shared" si="55"/>
        <v>0</v>
      </c>
      <c r="Z116" s="55"/>
    </row>
    <row r="117" spans="1:26" ht="15.75">
      <c r="A117" s="42" t="s">
        <v>27</v>
      </c>
      <c r="B117" s="92">
        <f>SUM(B97:B116)/D118</f>
        <v>159828.6456677061</v>
      </c>
      <c r="C117" s="70">
        <f>(SUM(C97:C116))/D118</f>
        <v>0</v>
      </c>
      <c r="D117" s="70">
        <f>(SUM(D97:D116))/D118</f>
        <v>53.61072</v>
      </c>
      <c r="E117" s="70">
        <f>(SUM(E97:E116))/D118</f>
        <v>373.7723679768304</v>
      </c>
      <c r="F117" s="70">
        <f>(SUM(F97:F116))/D118</f>
        <v>382.34528700051976</v>
      </c>
      <c r="G117" s="70">
        <f>(SUM(G97:G116))/D118</f>
        <v>333.8855000000001</v>
      </c>
      <c r="H117" s="82">
        <f>(SUM(H97:H116))/D118</f>
        <v>1143.6138749773502</v>
      </c>
      <c r="I117" s="70">
        <f>(SUM(I97:I116))/D118</f>
        <v>809.7283749773502</v>
      </c>
      <c r="J117" s="70">
        <f>(SUM(J97:J116))/D118</f>
        <v>427.3830879768304</v>
      </c>
      <c r="K117" s="41"/>
      <c r="L117" s="29" t="s">
        <v>27</v>
      </c>
      <c r="M117" s="71">
        <f>(SUM(M97:M116))/D118</f>
        <v>0.007521199683149982</v>
      </c>
      <c r="N117" s="53">
        <f>(SUM(N97:N116))/D118</f>
        <v>0.002227348840440973</v>
      </c>
      <c r="O117" s="53">
        <f>(SUM(O97:O116))/D118</f>
        <v>0.0022371426209917573</v>
      </c>
      <c r="P117" s="53">
        <f>(SUM(P97:P116))/D118</f>
        <v>0.0030567082217172518</v>
      </c>
      <c r="Q117" s="52">
        <f>(SUM(Q97:Q116))/D118</f>
        <v>0.12406718593329469</v>
      </c>
      <c r="R117" s="53">
        <f>(SUM(R97:R116))/D118</f>
        <v>0.2212726654936769</v>
      </c>
      <c r="S117" s="53">
        <f>(SUM(S97:S116))/D118</f>
        <v>0.5546601485730285</v>
      </c>
      <c r="T117" s="52">
        <f>(SUM(T97:T116))/D118</f>
        <v>0</v>
      </c>
      <c r="U117" s="53">
        <f>(SUM(U97:U116))/D118</f>
        <v>0.16936234013660517</v>
      </c>
      <c r="V117" s="53">
        <f>(SUM(V97:V116))/D118</f>
        <v>0.5806376598633949</v>
      </c>
      <c r="W117" s="52">
        <f>(SUM(W97:W116))/D118</f>
        <v>0</v>
      </c>
      <c r="X117" s="53">
        <f>(SUM(X97:X116))/I118</f>
        <v>0.0005753426626429571</v>
      </c>
      <c r="Y117" s="54">
        <f>(SUM(Y97:Y116))/D118</f>
        <v>0.00268273549099933</v>
      </c>
      <c r="Z117" s="32"/>
    </row>
    <row r="118" spans="1:26" ht="15.75">
      <c r="A118" s="64"/>
      <c r="C118" s="65" t="s">
        <v>44</v>
      </c>
      <c r="D118" s="66">
        <v>20</v>
      </c>
      <c r="E118" s="67"/>
      <c r="F118" s="65"/>
      <c r="G118" s="65"/>
      <c r="H118" s="65" t="s">
        <v>52</v>
      </c>
      <c r="I118" s="66">
        <v>13</v>
      </c>
      <c r="J118" s="68"/>
      <c r="K118" s="41"/>
      <c r="L118" s="3"/>
      <c r="M118" s="3"/>
      <c r="N118" s="3"/>
      <c r="O118" s="3"/>
      <c r="P118" s="3"/>
      <c r="T118" s="50" t="s">
        <v>51</v>
      </c>
      <c r="U118" s="31">
        <f>(SUM(U97:U116))/I118</f>
        <v>0.26055744636400796</v>
      </c>
      <c r="W118" s="47"/>
      <c r="X118" s="46"/>
      <c r="Y118" s="47"/>
      <c r="Z118" s="49"/>
    </row>
    <row r="119" spans="2:26" ht="15.75">
      <c r="B119" s="87"/>
      <c r="C119" s="69"/>
      <c r="L119" s="3"/>
      <c r="M119" s="3"/>
      <c r="N119" s="3"/>
      <c r="O119" s="3"/>
      <c r="P119" s="3"/>
      <c r="V119" s="48" t="s">
        <v>61</v>
      </c>
      <c r="W119" s="48"/>
      <c r="Y119" s="48"/>
      <c r="Z119" s="48"/>
    </row>
    <row r="120" spans="1:2" ht="12.75">
      <c r="A120" t="s">
        <v>59</v>
      </c>
      <c r="B120" s="91" t="s">
        <v>60</v>
      </c>
    </row>
    <row r="121" ht="12.75">
      <c r="A121" s="79" t="s">
        <v>109</v>
      </c>
    </row>
    <row r="122" ht="12.75">
      <c r="A122" t="s">
        <v>108</v>
      </c>
    </row>
    <row r="126" ht="12.75">
      <c r="B126" s="6" t="s">
        <v>160</v>
      </c>
    </row>
    <row r="129" spans="1:17" ht="12.75">
      <c r="A129" s="7"/>
      <c r="B129" s="8"/>
      <c r="C129" s="128"/>
      <c r="D129" s="30" t="s">
        <v>106</v>
      </c>
      <c r="E129" s="8"/>
      <c r="F129" s="154" t="s">
        <v>58</v>
      </c>
      <c r="G129" s="97" t="s">
        <v>67</v>
      </c>
      <c r="H129" s="40" t="s">
        <v>68</v>
      </c>
      <c r="I129" s="30" t="s">
        <v>69</v>
      </c>
      <c r="J129" s="99" t="s">
        <v>111</v>
      </c>
      <c r="K129" s="116"/>
      <c r="L129" s="40" t="s">
        <v>110</v>
      </c>
      <c r="M129" s="11"/>
      <c r="N129" s="40"/>
      <c r="O129" s="30" t="s">
        <v>70</v>
      </c>
      <c r="P129" s="30"/>
      <c r="Q129" s="99"/>
    </row>
    <row r="130" spans="1:17" ht="12.75">
      <c r="A130" s="12"/>
      <c r="B130" s="4" t="s">
        <v>105</v>
      </c>
      <c r="C130" s="103">
        <v>100000</v>
      </c>
      <c r="D130" s="100">
        <v>250000</v>
      </c>
      <c r="E130" s="100">
        <v>500000</v>
      </c>
      <c r="F130" s="155" t="s">
        <v>71</v>
      </c>
      <c r="G130" s="101" t="s">
        <v>72</v>
      </c>
      <c r="H130" s="102" t="s">
        <v>73</v>
      </c>
      <c r="I130" s="135" t="s">
        <v>93</v>
      </c>
      <c r="J130" s="153" t="s">
        <v>112</v>
      </c>
      <c r="K130" s="117" t="s">
        <v>94</v>
      </c>
      <c r="L130" s="152" t="s">
        <v>95</v>
      </c>
      <c r="M130" s="39" t="s">
        <v>111</v>
      </c>
      <c r="N130" s="103">
        <v>100000</v>
      </c>
      <c r="O130" s="100">
        <v>250000</v>
      </c>
      <c r="P130" s="100">
        <v>500000</v>
      </c>
      <c r="Q130" s="113" t="s">
        <v>27</v>
      </c>
    </row>
    <row r="131" spans="1:17" ht="12.75">
      <c r="A131" s="56" t="s">
        <v>11</v>
      </c>
      <c r="B131" s="58"/>
      <c r="C131" s="57"/>
      <c r="D131" s="104"/>
      <c r="E131" s="58"/>
      <c r="F131" s="118" t="s">
        <v>74</v>
      </c>
      <c r="G131" s="58"/>
      <c r="H131" s="57">
        <v>2005</v>
      </c>
      <c r="I131" s="58"/>
      <c r="J131" s="140" t="s">
        <v>113</v>
      </c>
      <c r="K131" s="118" t="s">
        <v>73</v>
      </c>
      <c r="L131" s="105" t="s">
        <v>96</v>
      </c>
      <c r="M131" s="140" t="s">
        <v>112</v>
      </c>
      <c r="N131" s="57"/>
      <c r="O131" s="58"/>
      <c r="P131" s="58"/>
      <c r="Q131" s="114" t="s">
        <v>94</v>
      </c>
    </row>
    <row r="132" spans="1:17" ht="12.75">
      <c r="A132" s="12" t="s">
        <v>6</v>
      </c>
      <c r="B132" s="18" t="s">
        <v>62</v>
      </c>
      <c r="C132" s="95">
        <f>E19</f>
        <v>564</v>
      </c>
      <c r="D132" s="18">
        <f>E46</f>
        <v>657</v>
      </c>
      <c r="E132" s="18">
        <f>E80</f>
        <v>803</v>
      </c>
      <c r="F132" s="96">
        <f>B109</f>
        <v>202000</v>
      </c>
      <c r="G132" s="18">
        <f>E109</f>
        <v>627.24</v>
      </c>
      <c r="H132" s="94">
        <v>1.052</v>
      </c>
      <c r="I132" s="145">
        <v>1.064</v>
      </c>
      <c r="J132" s="136">
        <v>29554</v>
      </c>
      <c r="K132" s="96">
        <f aca="true" t="shared" si="58" ref="K132:K151">G132/H132</f>
        <v>596.2357414448669</v>
      </c>
      <c r="L132" s="15">
        <f aca="true" t="shared" si="59" ref="L132:L151">G132/I132</f>
        <v>589.5112781954887</v>
      </c>
      <c r="M132" s="149">
        <f aca="true" t="shared" si="60" ref="M132:M151">G132*22827/J132</f>
        <v>484.46936049265753</v>
      </c>
      <c r="N132" s="107">
        <f aca="true" t="shared" si="61" ref="N132:N151">C132/100000</f>
        <v>0.00564</v>
      </c>
      <c r="O132" s="108">
        <f aca="true" t="shared" si="62" ref="O132:O151">D132/250000</f>
        <v>0.002628</v>
      </c>
      <c r="P132" s="108">
        <f aca="true" t="shared" si="63" ref="P132:P151">E132/500000</f>
        <v>0.001606</v>
      </c>
      <c r="Q132" s="106">
        <f aca="true" t="shared" si="64" ref="Q132:Q151">G132/F132</f>
        <v>0.003105148514851485</v>
      </c>
    </row>
    <row r="133" spans="1:17" ht="12.75">
      <c r="A133" s="12" t="s">
        <v>48</v>
      </c>
      <c r="B133" s="18" t="s">
        <v>63</v>
      </c>
      <c r="C133" s="95">
        <f>E9</f>
        <v>500</v>
      </c>
      <c r="D133" s="18">
        <f>E36</f>
        <v>500</v>
      </c>
      <c r="E133" s="18">
        <f>E70</f>
        <v>500</v>
      </c>
      <c r="F133" s="115">
        <f>B99</f>
        <v>100000</v>
      </c>
      <c r="G133" s="18">
        <f>E99</f>
        <v>500</v>
      </c>
      <c r="H133" s="94">
        <v>0.578</v>
      </c>
      <c r="I133" s="145">
        <v>0.738</v>
      </c>
      <c r="J133" s="137">
        <v>7337</v>
      </c>
      <c r="K133" s="96">
        <f t="shared" si="58"/>
        <v>865.0519031141869</v>
      </c>
      <c r="L133" s="15">
        <f t="shared" si="59"/>
        <v>677.5067750677507</v>
      </c>
      <c r="M133" s="149">
        <f t="shared" si="60"/>
        <v>1555.6085593566852</v>
      </c>
      <c r="N133" s="107">
        <f t="shared" si="61"/>
        <v>0.005</v>
      </c>
      <c r="O133" s="108">
        <f t="shared" si="62"/>
        <v>0.002</v>
      </c>
      <c r="P133" s="108">
        <f t="shared" si="63"/>
        <v>0.001</v>
      </c>
      <c r="Q133" s="109">
        <f t="shared" si="64"/>
        <v>0.005</v>
      </c>
    </row>
    <row r="134" spans="1:17" ht="12.75">
      <c r="A134" s="12" t="s">
        <v>0</v>
      </c>
      <c r="B134" s="18" t="s">
        <v>63</v>
      </c>
      <c r="C134" s="95">
        <f>E11</f>
        <v>100</v>
      </c>
      <c r="D134" s="18">
        <f>E38</f>
        <v>250</v>
      </c>
      <c r="E134" s="18">
        <f>E72</f>
        <v>500</v>
      </c>
      <c r="F134" s="95">
        <f>B101</f>
        <v>297750</v>
      </c>
      <c r="G134" s="18">
        <f>E101</f>
        <v>297.75</v>
      </c>
      <c r="H134" s="94">
        <v>1.049</v>
      </c>
      <c r="I134" s="145">
        <v>1.088</v>
      </c>
      <c r="J134" s="137">
        <v>33688</v>
      </c>
      <c r="K134" s="96">
        <f t="shared" si="58"/>
        <v>283.8417540514776</v>
      </c>
      <c r="L134" s="15">
        <f t="shared" si="59"/>
        <v>273.6672794117647</v>
      </c>
      <c r="M134" s="149">
        <f t="shared" si="60"/>
        <v>201.75549899073854</v>
      </c>
      <c r="N134" s="107">
        <f t="shared" si="61"/>
        <v>0.001</v>
      </c>
      <c r="O134" s="108">
        <f t="shared" si="62"/>
        <v>0.001</v>
      </c>
      <c r="P134" s="108">
        <f t="shared" si="63"/>
        <v>0.001</v>
      </c>
      <c r="Q134" s="109">
        <f t="shared" si="64"/>
        <v>0.001</v>
      </c>
    </row>
    <row r="135" spans="1:17" ht="12.75">
      <c r="A135" s="19" t="s">
        <v>8</v>
      </c>
      <c r="B135" s="18" t="s">
        <v>63</v>
      </c>
      <c r="C135" s="95">
        <f>E22</f>
        <v>147</v>
      </c>
      <c r="D135" s="18">
        <f>E49</f>
        <v>149</v>
      </c>
      <c r="E135" s="18">
        <f>E83</f>
        <v>148</v>
      </c>
      <c r="F135" s="95">
        <f>B112</f>
        <v>193860</v>
      </c>
      <c r="G135" s="18">
        <f>E112</f>
        <v>148.25146666666683</v>
      </c>
      <c r="H135" s="94">
        <v>1.049</v>
      </c>
      <c r="I135" s="145">
        <v>1.088</v>
      </c>
      <c r="J135" s="137">
        <v>33688</v>
      </c>
      <c r="K135" s="96">
        <f t="shared" si="58"/>
        <v>141.32646965363855</v>
      </c>
      <c r="L135" s="15">
        <f t="shared" si="59"/>
        <v>136.2605392156864</v>
      </c>
      <c r="M135" s="149">
        <f t="shared" si="60"/>
        <v>100.45524310140121</v>
      </c>
      <c r="N135" s="107">
        <f t="shared" si="61"/>
        <v>0.00147</v>
      </c>
      <c r="O135" s="108">
        <f t="shared" si="62"/>
        <v>0.000596</v>
      </c>
      <c r="P135" s="108">
        <f t="shared" si="63"/>
        <v>0.000296</v>
      </c>
      <c r="Q135" s="109">
        <f t="shared" si="64"/>
        <v>0.0007647346882630085</v>
      </c>
    </row>
    <row r="136" spans="1:17" ht="12.75">
      <c r="A136" s="12" t="s">
        <v>4</v>
      </c>
      <c r="B136" s="18" t="s">
        <v>63</v>
      </c>
      <c r="C136" s="95">
        <f>E17</f>
        <v>0</v>
      </c>
      <c r="D136" s="18">
        <f>E44</f>
        <v>0</v>
      </c>
      <c r="E136" s="18">
        <f>E78</f>
        <v>0</v>
      </c>
      <c r="F136" s="95">
        <f>B107</f>
        <v>303310</v>
      </c>
      <c r="G136" s="18">
        <f>E107</f>
        <v>0</v>
      </c>
      <c r="H136" s="94">
        <v>1.234</v>
      </c>
      <c r="I136" s="145">
        <v>1.204</v>
      </c>
      <c r="J136" s="137">
        <v>32233</v>
      </c>
      <c r="K136" s="96">
        <f t="shared" si="58"/>
        <v>0</v>
      </c>
      <c r="L136" s="15">
        <f t="shared" si="59"/>
        <v>0</v>
      </c>
      <c r="M136" s="149">
        <f t="shared" si="60"/>
        <v>0</v>
      </c>
      <c r="N136" s="107">
        <f t="shared" si="61"/>
        <v>0</v>
      </c>
      <c r="O136" s="108">
        <f t="shared" si="62"/>
        <v>0</v>
      </c>
      <c r="P136" s="108">
        <f t="shared" si="63"/>
        <v>0</v>
      </c>
      <c r="Q136" s="109">
        <f t="shared" si="64"/>
        <v>0</v>
      </c>
    </row>
    <row r="137" spans="1:17" ht="12.75">
      <c r="A137" s="12" t="s">
        <v>188</v>
      </c>
      <c r="B137" s="18" t="s">
        <v>63</v>
      </c>
      <c r="C137" s="95">
        <f>E23</f>
        <v>0</v>
      </c>
      <c r="D137" s="18">
        <f>E50</f>
        <v>0</v>
      </c>
      <c r="E137" s="18">
        <f>E84</f>
        <v>0</v>
      </c>
      <c r="F137" s="115">
        <f>B113</f>
        <v>100000</v>
      </c>
      <c r="G137" s="18">
        <f>E113</f>
        <v>0</v>
      </c>
      <c r="H137" s="94">
        <v>0.576</v>
      </c>
      <c r="I137" s="145">
        <v>0.55</v>
      </c>
      <c r="J137" s="137">
        <v>5445</v>
      </c>
      <c r="K137" s="96">
        <f t="shared" si="58"/>
        <v>0</v>
      </c>
      <c r="L137" s="15">
        <f t="shared" si="59"/>
        <v>0</v>
      </c>
      <c r="M137" s="149">
        <f t="shared" si="60"/>
        <v>0</v>
      </c>
      <c r="N137" s="107">
        <f>C137/100000</f>
        <v>0</v>
      </c>
      <c r="O137" s="108">
        <f>D137/250000</f>
        <v>0</v>
      </c>
      <c r="P137" s="108">
        <f>E137/500000</f>
        <v>0</v>
      </c>
      <c r="Q137" s="109">
        <f>G137/F137</f>
        <v>0</v>
      </c>
    </row>
    <row r="138" spans="1:17" ht="12.75">
      <c r="A138" s="12" t="s">
        <v>19</v>
      </c>
      <c r="B138" s="18" t="s">
        <v>65</v>
      </c>
      <c r="C138" s="95">
        <f>E16</f>
        <v>1040</v>
      </c>
      <c r="D138" s="18">
        <f>E43</f>
        <v>1670</v>
      </c>
      <c r="E138" s="18">
        <f>E77</f>
        <v>2350</v>
      </c>
      <c r="F138" s="115">
        <f>B106</f>
        <v>100000</v>
      </c>
      <c r="G138" s="18">
        <f>E106</f>
        <v>1040</v>
      </c>
      <c r="H138" s="94">
        <v>0.636</v>
      </c>
      <c r="I138" s="145">
        <v>0.611</v>
      </c>
      <c r="J138" s="137">
        <v>5848</v>
      </c>
      <c r="K138" s="96">
        <f t="shared" si="58"/>
        <v>1635.2201257861634</v>
      </c>
      <c r="L138" s="15">
        <f t="shared" si="59"/>
        <v>1702.1276595744682</v>
      </c>
      <c r="M138" s="149">
        <f t="shared" si="60"/>
        <v>4059.5212038303694</v>
      </c>
      <c r="N138" s="107">
        <f t="shared" si="61"/>
        <v>0.0104</v>
      </c>
      <c r="O138" s="108">
        <f t="shared" si="62"/>
        <v>0.00668</v>
      </c>
      <c r="P138" s="108">
        <f t="shared" si="63"/>
        <v>0.0047</v>
      </c>
      <c r="Q138" s="109">
        <f t="shared" si="64"/>
        <v>0.0104</v>
      </c>
    </row>
    <row r="139" spans="1:17" ht="12.75">
      <c r="A139" s="12" t="s">
        <v>7</v>
      </c>
      <c r="B139" s="18" t="s">
        <v>64</v>
      </c>
      <c r="C139" s="95">
        <f>E20</f>
        <v>0</v>
      </c>
      <c r="D139" s="18">
        <f>E47</f>
        <v>0</v>
      </c>
      <c r="E139" s="18">
        <f>E81</f>
        <v>0</v>
      </c>
      <c r="F139" s="115">
        <f>B110</f>
        <v>100000</v>
      </c>
      <c r="G139" s="18">
        <f>E110</f>
        <v>0</v>
      </c>
      <c r="H139" s="94">
        <v>0.596</v>
      </c>
      <c r="I139" s="145">
        <v>0.546</v>
      </c>
      <c r="J139" s="137">
        <v>5200</v>
      </c>
      <c r="K139" s="96">
        <f t="shared" si="58"/>
        <v>0</v>
      </c>
      <c r="L139" s="15">
        <f t="shared" si="59"/>
        <v>0</v>
      </c>
      <c r="M139" s="149">
        <f t="shared" si="60"/>
        <v>0</v>
      </c>
      <c r="N139" s="107">
        <f t="shared" si="61"/>
        <v>0</v>
      </c>
      <c r="O139" s="108">
        <f t="shared" si="62"/>
        <v>0</v>
      </c>
      <c r="P139" s="108">
        <f t="shared" si="63"/>
        <v>0</v>
      </c>
      <c r="Q139" s="109">
        <f t="shared" si="64"/>
        <v>0</v>
      </c>
    </row>
    <row r="140" spans="1:17" ht="12.75">
      <c r="A140" s="12" t="s">
        <v>3</v>
      </c>
      <c r="B140" s="18" t="s">
        <v>64</v>
      </c>
      <c r="C140" s="95">
        <f>E14</f>
        <v>228</v>
      </c>
      <c r="D140" s="18">
        <f>E41</f>
        <v>455</v>
      </c>
      <c r="E140" s="18">
        <f>E75</f>
        <v>827</v>
      </c>
      <c r="F140" s="95">
        <f>B104</f>
        <v>130862.5</v>
      </c>
      <c r="G140" s="18">
        <f>E104</f>
        <v>274.70525</v>
      </c>
      <c r="H140" s="94">
        <v>1.041</v>
      </c>
      <c r="I140" s="145">
        <v>1.06</v>
      </c>
      <c r="J140" s="137">
        <v>31916</v>
      </c>
      <c r="K140" s="96">
        <f t="shared" si="58"/>
        <v>263.8859269932757</v>
      </c>
      <c r="L140" s="15">
        <f t="shared" si="59"/>
        <v>259.15589622641505</v>
      </c>
      <c r="M140" s="149">
        <f t="shared" si="60"/>
        <v>196.4750201074696</v>
      </c>
      <c r="N140" s="107">
        <f t="shared" si="61"/>
        <v>0.00228</v>
      </c>
      <c r="O140" s="108">
        <f t="shared" si="62"/>
        <v>0.00182</v>
      </c>
      <c r="P140" s="108">
        <f t="shared" si="63"/>
        <v>0.001654</v>
      </c>
      <c r="Q140" s="109">
        <f t="shared" si="64"/>
        <v>0.002099189989492788</v>
      </c>
    </row>
    <row r="141" spans="1:17" ht="12.75">
      <c r="A141" s="12" t="s">
        <v>16</v>
      </c>
      <c r="B141" s="18" t="s">
        <v>64</v>
      </c>
      <c r="C141" s="95">
        <f>E24</f>
        <v>225</v>
      </c>
      <c r="D141" s="18">
        <f>E51</f>
        <v>337.5</v>
      </c>
      <c r="E141" s="18">
        <f>E85</f>
        <v>585</v>
      </c>
      <c r="F141" s="115">
        <f>B114</f>
        <v>100000</v>
      </c>
      <c r="G141" s="18">
        <f>E114</f>
        <v>225</v>
      </c>
      <c r="H141" s="94">
        <v>0.764</v>
      </c>
      <c r="I141" s="145">
        <v>0.731</v>
      </c>
      <c r="J141" s="137">
        <v>8901</v>
      </c>
      <c r="K141" s="96">
        <f t="shared" si="58"/>
        <v>294.5026178010471</v>
      </c>
      <c r="L141" s="15">
        <f t="shared" si="59"/>
        <v>307.797537619699</v>
      </c>
      <c r="M141" s="149">
        <f t="shared" si="60"/>
        <v>577.0222446916077</v>
      </c>
      <c r="N141" s="107">
        <f t="shared" si="61"/>
        <v>0.00225</v>
      </c>
      <c r="O141" s="108">
        <f t="shared" si="62"/>
        <v>0.00135</v>
      </c>
      <c r="P141" s="108">
        <f t="shared" si="63"/>
        <v>0.00117</v>
      </c>
      <c r="Q141" s="109">
        <f t="shared" si="64"/>
        <v>0.00225</v>
      </c>
    </row>
    <row r="142" spans="1:17" ht="12.75">
      <c r="A142" s="12" t="s">
        <v>9</v>
      </c>
      <c r="B142" s="18" t="s">
        <v>64</v>
      </c>
      <c r="C142" s="95">
        <f>E25</f>
        <v>589</v>
      </c>
      <c r="D142" s="18">
        <f>E52</f>
        <v>759</v>
      </c>
      <c r="E142" s="18">
        <f>E86</f>
        <v>859</v>
      </c>
      <c r="F142" s="95">
        <f>B115</f>
        <v>172630</v>
      </c>
      <c r="G142" s="18">
        <f>E115</f>
        <v>671.314</v>
      </c>
      <c r="H142" s="94">
        <v>0.9</v>
      </c>
      <c r="I142" s="145">
        <v>0.902</v>
      </c>
      <c r="J142" s="137">
        <v>18004</v>
      </c>
      <c r="K142" s="96">
        <f t="shared" si="58"/>
        <v>745.9044444444444</v>
      </c>
      <c r="L142" s="15">
        <f t="shared" si="59"/>
        <v>744.2505543237249</v>
      </c>
      <c r="M142" s="149">
        <f t="shared" si="60"/>
        <v>851.1488934681182</v>
      </c>
      <c r="N142" s="107">
        <f t="shared" si="61"/>
        <v>0.00589</v>
      </c>
      <c r="O142" s="108">
        <f t="shared" si="62"/>
        <v>0.003036</v>
      </c>
      <c r="P142" s="108">
        <f t="shared" si="63"/>
        <v>0.001718</v>
      </c>
      <c r="Q142" s="109">
        <f t="shared" si="64"/>
        <v>0.003888744714128483</v>
      </c>
    </row>
    <row r="143" spans="1:17" ht="12.75">
      <c r="A143" s="14" t="s">
        <v>12</v>
      </c>
      <c r="B143" s="15" t="s">
        <v>64</v>
      </c>
      <c r="C143" s="96">
        <f>E7</f>
        <v>0</v>
      </c>
      <c r="D143" s="15">
        <f>E34</f>
        <v>0</v>
      </c>
      <c r="E143" s="15">
        <f>E68</f>
        <v>0</v>
      </c>
      <c r="F143" s="115">
        <f>B97</f>
        <v>150000</v>
      </c>
      <c r="G143" s="15">
        <f>E97</f>
        <v>0</v>
      </c>
      <c r="H143" s="94">
        <v>1.029</v>
      </c>
      <c r="I143" s="145">
        <v>1.037</v>
      </c>
      <c r="J143" s="137">
        <v>28009</v>
      </c>
      <c r="K143" s="96">
        <f t="shared" si="58"/>
        <v>0</v>
      </c>
      <c r="L143" s="15">
        <f t="shared" si="59"/>
        <v>0</v>
      </c>
      <c r="M143" s="149">
        <f t="shared" si="60"/>
        <v>0</v>
      </c>
      <c r="N143" s="107">
        <f t="shared" si="61"/>
        <v>0</v>
      </c>
      <c r="O143" s="108">
        <f t="shared" si="62"/>
        <v>0</v>
      </c>
      <c r="P143" s="108">
        <f t="shared" si="63"/>
        <v>0</v>
      </c>
      <c r="Q143" s="109">
        <f t="shared" si="64"/>
        <v>0</v>
      </c>
    </row>
    <row r="144" spans="1:17" ht="12.75">
      <c r="A144" s="12" t="s">
        <v>2</v>
      </c>
      <c r="B144" s="18" t="s">
        <v>64</v>
      </c>
      <c r="C144" s="95">
        <f>E13</f>
        <v>385.3299999999999</v>
      </c>
      <c r="D144" s="18">
        <f>E40</f>
        <v>797</v>
      </c>
      <c r="E144" s="18">
        <f>E74</f>
        <v>1485</v>
      </c>
      <c r="F144" s="95">
        <f>B103</f>
        <v>226629.91335412173</v>
      </c>
      <c r="G144" s="18">
        <f>E103</f>
        <v>732.861576203275</v>
      </c>
      <c r="H144" s="94">
        <v>1.085</v>
      </c>
      <c r="I144" s="145">
        <v>1.069</v>
      </c>
      <c r="J144" s="137">
        <v>25050</v>
      </c>
      <c r="K144" s="96">
        <f t="shared" si="58"/>
        <v>675.4484573302075</v>
      </c>
      <c r="L144" s="15">
        <f t="shared" si="59"/>
        <v>685.5580694137278</v>
      </c>
      <c r="M144" s="149">
        <f t="shared" si="60"/>
        <v>667.8255968060743</v>
      </c>
      <c r="N144" s="107">
        <f t="shared" si="61"/>
        <v>0.003853299999999999</v>
      </c>
      <c r="O144" s="108">
        <f t="shared" si="62"/>
        <v>0.003188</v>
      </c>
      <c r="P144" s="108">
        <f t="shared" si="63"/>
        <v>0.00297</v>
      </c>
      <c r="Q144" s="109">
        <f t="shared" si="64"/>
        <v>0.003233737176866579</v>
      </c>
    </row>
    <row r="145" spans="1:17" ht="12.75">
      <c r="A145" s="14" t="s">
        <v>13</v>
      </c>
      <c r="B145" s="15" t="s">
        <v>64</v>
      </c>
      <c r="C145" s="96">
        <f>E8</f>
        <v>561.04</v>
      </c>
      <c r="D145" s="15">
        <f>E35</f>
        <v>904.04</v>
      </c>
      <c r="E145" s="15">
        <f>E69</f>
        <v>1017.1999999999998</v>
      </c>
      <c r="F145" s="95">
        <f>B98</f>
        <v>167000</v>
      </c>
      <c r="G145" s="15">
        <f>E98</f>
        <v>714.2466666666664</v>
      </c>
      <c r="H145" s="94">
        <v>1.043</v>
      </c>
      <c r="I145" s="145">
        <v>1.033</v>
      </c>
      <c r="J145" s="137">
        <v>28324</v>
      </c>
      <c r="K145" s="96">
        <f t="shared" si="58"/>
        <v>684.8002556727387</v>
      </c>
      <c r="L145" s="15">
        <f t="shared" si="59"/>
        <v>691.4294933849627</v>
      </c>
      <c r="M145" s="149">
        <f t="shared" si="60"/>
        <v>575.6287480581836</v>
      </c>
      <c r="N145" s="107">
        <f t="shared" si="61"/>
        <v>0.0056104</v>
      </c>
      <c r="O145" s="108">
        <f t="shared" si="62"/>
        <v>0.0036161599999999998</v>
      </c>
      <c r="P145" s="108">
        <f t="shared" si="63"/>
        <v>0.0020343999999999996</v>
      </c>
      <c r="Q145" s="109">
        <f t="shared" si="64"/>
        <v>0.004276926147704589</v>
      </c>
    </row>
    <row r="146" spans="1:17" ht="12.75">
      <c r="A146" s="14" t="s">
        <v>189</v>
      </c>
      <c r="B146" s="15" t="s">
        <v>64</v>
      </c>
      <c r="C146" s="96">
        <f>E21</f>
        <v>87</v>
      </c>
      <c r="D146" s="15">
        <f>E48</f>
        <v>136.35000000000002</v>
      </c>
      <c r="E146" s="15">
        <f>E111</f>
        <v>87</v>
      </c>
      <c r="F146" s="115">
        <f>B111</f>
        <v>100000</v>
      </c>
      <c r="G146" s="15">
        <f>E99</f>
        <v>500</v>
      </c>
      <c r="H146" s="94">
        <v>0.852</v>
      </c>
      <c r="I146" s="145">
        <v>0.713</v>
      </c>
      <c r="J146" s="137">
        <v>12086</v>
      </c>
      <c r="K146" s="96">
        <f t="shared" si="58"/>
        <v>586.8544600938967</v>
      </c>
      <c r="L146" s="15">
        <f t="shared" si="59"/>
        <v>701.2622720897616</v>
      </c>
      <c r="M146" s="149">
        <f t="shared" si="60"/>
        <v>944.3571073969882</v>
      </c>
      <c r="N146" s="107">
        <f>C146/100000</f>
        <v>0.00087</v>
      </c>
      <c r="O146" s="108">
        <f>D146/250000</f>
        <v>0.0005454000000000001</v>
      </c>
      <c r="P146" s="108">
        <f>E146/500000</f>
        <v>0.000174</v>
      </c>
      <c r="Q146" s="109">
        <f>G146/F146</f>
        <v>0.005</v>
      </c>
    </row>
    <row r="147" spans="1:17" ht="12.75">
      <c r="A147" s="12" t="s">
        <v>5</v>
      </c>
      <c r="B147" s="18" t="s">
        <v>64</v>
      </c>
      <c r="C147" s="95">
        <f>E18</f>
        <v>1170</v>
      </c>
      <c r="D147" s="18">
        <f>E45</f>
        <v>1850</v>
      </c>
      <c r="E147" s="18">
        <f>E79</f>
        <v>2350</v>
      </c>
      <c r="F147" s="95">
        <f>B108</f>
        <v>129532</v>
      </c>
      <c r="G147" s="18">
        <f>E108</f>
        <v>1303.8784</v>
      </c>
      <c r="H147" s="94">
        <v>1.026</v>
      </c>
      <c r="I147" s="145">
        <v>1.006</v>
      </c>
      <c r="J147" s="137">
        <v>19636</v>
      </c>
      <c r="K147" s="96">
        <f t="shared" si="58"/>
        <v>1270.8366471734894</v>
      </c>
      <c r="L147" s="15">
        <f t="shared" si="59"/>
        <v>1296.1017892644136</v>
      </c>
      <c r="M147" s="149">
        <f t="shared" si="60"/>
        <v>1515.7686003666734</v>
      </c>
      <c r="N147" s="107">
        <f t="shared" si="61"/>
        <v>0.0117</v>
      </c>
      <c r="O147" s="108">
        <f t="shared" si="62"/>
        <v>0.0074</v>
      </c>
      <c r="P147" s="108">
        <f t="shared" si="63"/>
        <v>0.0047</v>
      </c>
      <c r="Q147" s="109">
        <f t="shared" si="64"/>
        <v>0.010066071704289288</v>
      </c>
    </row>
    <row r="148" spans="1:17" ht="12.75">
      <c r="A148" s="12" t="s">
        <v>15</v>
      </c>
      <c r="B148" s="18" t="s">
        <v>65</v>
      </c>
      <c r="C148" s="95">
        <f>E15</f>
        <v>500</v>
      </c>
      <c r="D148" s="18">
        <f>E42</f>
        <v>500</v>
      </c>
      <c r="E148" s="18">
        <f>E76</f>
        <v>500</v>
      </c>
      <c r="F148" s="115">
        <f>B105</f>
        <v>130000</v>
      </c>
      <c r="G148" s="18">
        <f>E105</f>
        <v>500</v>
      </c>
      <c r="H148" s="94">
        <v>0.878</v>
      </c>
      <c r="I148" s="145">
        <v>0.849</v>
      </c>
      <c r="J148" s="137">
        <v>17140</v>
      </c>
      <c r="K148" s="96">
        <f t="shared" si="58"/>
        <v>569.4760820045558</v>
      </c>
      <c r="L148" s="15">
        <f t="shared" si="59"/>
        <v>588.9281507656066</v>
      </c>
      <c r="M148" s="149">
        <f t="shared" si="60"/>
        <v>665.8984830805134</v>
      </c>
      <c r="N148" s="107">
        <f t="shared" si="61"/>
        <v>0.005</v>
      </c>
      <c r="O148" s="108">
        <f t="shared" si="62"/>
        <v>0.002</v>
      </c>
      <c r="P148" s="108">
        <f t="shared" si="63"/>
        <v>0.001</v>
      </c>
      <c r="Q148" s="109">
        <f t="shared" si="64"/>
        <v>0.0038461538461538464</v>
      </c>
    </row>
    <row r="149" spans="1:17" ht="12.75">
      <c r="A149" s="12" t="s">
        <v>10</v>
      </c>
      <c r="B149" s="18" t="s">
        <v>66</v>
      </c>
      <c r="C149" s="95">
        <f>E26</f>
        <v>0</v>
      </c>
      <c r="D149" s="18">
        <f>E53</f>
        <v>0</v>
      </c>
      <c r="E149" s="18">
        <f>E87</f>
        <v>0</v>
      </c>
      <c r="F149" s="95">
        <f>B116</f>
        <v>147500</v>
      </c>
      <c r="G149" s="18">
        <f>C149</f>
        <v>0</v>
      </c>
      <c r="H149" s="94">
        <v>1.206</v>
      </c>
      <c r="I149" s="145">
        <v>1.187</v>
      </c>
      <c r="J149" s="137">
        <v>25479</v>
      </c>
      <c r="K149" s="96">
        <f t="shared" si="58"/>
        <v>0</v>
      </c>
      <c r="L149" s="15">
        <f t="shared" si="59"/>
        <v>0</v>
      </c>
      <c r="M149" s="149">
        <f t="shared" si="60"/>
        <v>0</v>
      </c>
      <c r="N149" s="107">
        <f t="shared" si="61"/>
        <v>0</v>
      </c>
      <c r="O149" s="108">
        <f t="shared" si="62"/>
        <v>0</v>
      </c>
      <c r="P149" s="108">
        <f t="shared" si="63"/>
        <v>0</v>
      </c>
      <c r="Q149" s="109">
        <f t="shared" si="64"/>
        <v>0</v>
      </c>
    </row>
    <row r="150" spans="1:17" ht="12.75">
      <c r="A150" s="12" t="s">
        <v>1</v>
      </c>
      <c r="B150" s="18" t="s">
        <v>66</v>
      </c>
      <c r="C150" s="95">
        <f>E12</f>
        <v>353.2</v>
      </c>
      <c r="D150" s="18">
        <f>E39</f>
        <v>353.2</v>
      </c>
      <c r="E150" s="18">
        <f>E73</f>
        <v>353.2</v>
      </c>
      <c r="F150" s="95">
        <f>B102</f>
        <v>123756</v>
      </c>
      <c r="G150" s="18">
        <f>C150</f>
        <v>353.2</v>
      </c>
      <c r="H150" s="94">
        <v>1.22</v>
      </c>
      <c r="I150" s="145">
        <v>1.128</v>
      </c>
      <c r="J150" s="137">
        <v>25006</v>
      </c>
      <c r="K150" s="96">
        <f t="shared" si="58"/>
        <v>289.5081967213115</v>
      </c>
      <c r="L150" s="15">
        <f t="shared" si="59"/>
        <v>313.12056737588654</v>
      </c>
      <c r="M150" s="149">
        <f t="shared" si="60"/>
        <v>322.4224746060945</v>
      </c>
      <c r="N150" s="107">
        <f t="shared" si="61"/>
        <v>0.003532</v>
      </c>
      <c r="O150" s="108">
        <f t="shared" si="62"/>
        <v>0.0014127999999999999</v>
      </c>
      <c r="P150" s="108">
        <f t="shared" si="63"/>
        <v>0.0007063999999999999</v>
      </c>
      <c r="Q150" s="109">
        <f t="shared" si="64"/>
        <v>0.0028540030382365297</v>
      </c>
    </row>
    <row r="151" spans="1:17" ht="12.75">
      <c r="A151" s="20" t="s">
        <v>14</v>
      </c>
      <c r="B151" s="21" t="s">
        <v>66</v>
      </c>
      <c r="C151" s="129">
        <f>E10</f>
        <v>0</v>
      </c>
      <c r="D151" s="21">
        <f>E37</f>
        <v>0</v>
      </c>
      <c r="E151" s="134">
        <f>E100</f>
        <v>0</v>
      </c>
      <c r="F151" s="95">
        <f>B100</f>
        <v>221742.5</v>
      </c>
      <c r="G151" s="18">
        <f>C151</f>
        <v>0</v>
      </c>
      <c r="H151" s="94">
        <v>1.358</v>
      </c>
      <c r="I151" s="145">
        <v>1.321</v>
      </c>
      <c r="J151" s="138">
        <v>31202</v>
      </c>
      <c r="K151" s="96">
        <f t="shared" si="58"/>
        <v>0</v>
      </c>
      <c r="L151" s="22">
        <f t="shared" si="59"/>
        <v>0</v>
      </c>
      <c r="M151" s="149">
        <f t="shared" si="60"/>
        <v>0</v>
      </c>
      <c r="N151" s="107">
        <f t="shared" si="61"/>
        <v>0</v>
      </c>
      <c r="O151" s="108">
        <f t="shared" si="62"/>
        <v>0</v>
      </c>
      <c r="P151" s="108">
        <f t="shared" si="63"/>
        <v>0</v>
      </c>
      <c r="Q151" s="109">
        <f t="shared" si="64"/>
        <v>0</v>
      </c>
    </row>
    <row r="152" spans="1:17" ht="15.75">
      <c r="A152" s="42" t="s">
        <v>27</v>
      </c>
      <c r="B152" s="110"/>
      <c r="C152" s="111">
        <f>SUM(C132:C151)/C153</f>
        <v>322.4785</v>
      </c>
      <c r="D152" s="110">
        <f>SUM(D132:D151)/C153</f>
        <v>465.9045</v>
      </c>
      <c r="E152" s="110">
        <f>SUM(E132:E151)/C153</f>
        <v>618.22</v>
      </c>
      <c r="F152" s="111">
        <f>SUM(F132:F151)/C153</f>
        <v>159828.6456677061</v>
      </c>
      <c r="G152" s="110">
        <f>SUM(G132:G151)/C153</f>
        <v>394.4223679768304</v>
      </c>
      <c r="H152" s="142"/>
      <c r="I152" s="146"/>
      <c r="J152" s="168">
        <f>SUM(J132:J151)/C153</f>
        <v>21187.3</v>
      </c>
      <c r="K152" s="110">
        <f>SUM(K132:K151)/C153</f>
        <v>445.144654114265</v>
      </c>
      <c r="L152" s="110">
        <f>SUM(L132:L151)/C153</f>
        <v>448.3338930964678</v>
      </c>
      <c r="M152" s="110">
        <f>SUM(M132:M151)/C153</f>
        <v>635.9178517176788</v>
      </c>
      <c r="N152" s="52">
        <f>SUM(N132:N151)/C153</f>
        <v>0.003224785</v>
      </c>
      <c r="O152" s="53">
        <f>SUM(O132:O151)/C153</f>
        <v>0.0018636180000000003</v>
      </c>
      <c r="P152" s="53">
        <f>SUM(P132:P151)/C153</f>
        <v>0.00123644</v>
      </c>
      <c r="Q152" s="54">
        <f>SUM(Q132:Q151)/C153</f>
        <v>0.0028892354909993297</v>
      </c>
    </row>
    <row r="153" spans="1:17" ht="15.75">
      <c r="A153" s="160"/>
      <c r="B153" s="166" t="s">
        <v>198</v>
      </c>
      <c r="C153" s="167">
        <v>20</v>
      </c>
      <c r="D153" s="17"/>
      <c r="E153" s="17"/>
      <c r="F153" s="17"/>
      <c r="G153" s="17"/>
      <c r="H153" s="123"/>
      <c r="I153" s="123"/>
      <c r="K153" s="123"/>
      <c r="L153" s="123"/>
      <c r="N153" s="32"/>
      <c r="O153" s="32"/>
      <c r="P153" s="32"/>
      <c r="Q153" s="32"/>
    </row>
    <row r="154" spans="1:17" ht="15.75">
      <c r="A154" s="29"/>
      <c r="B154" s="17"/>
      <c r="C154" s="17"/>
      <c r="D154" s="17"/>
      <c r="E154" s="17"/>
      <c r="F154" s="17"/>
      <c r="G154" s="17"/>
      <c r="H154" s="123"/>
      <c r="I154" s="123"/>
      <c r="J154" s="91"/>
      <c r="K154" s="123"/>
      <c r="L154" s="123"/>
      <c r="N154" s="32"/>
      <c r="O154" s="32"/>
      <c r="P154" s="32"/>
      <c r="Q154" s="32"/>
    </row>
    <row r="155" ht="12.75">
      <c r="I155" s="2"/>
    </row>
    <row r="156" spans="1:9" ht="12.75">
      <c r="A156" s="121"/>
      <c r="B156" s="121" t="s">
        <v>104</v>
      </c>
      <c r="I156" s="2"/>
    </row>
    <row r="157" spans="1:17" ht="12.75">
      <c r="A157" s="7"/>
      <c r="B157" s="8"/>
      <c r="C157" s="128"/>
      <c r="D157" s="30" t="s">
        <v>106</v>
      </c>
      <c r="E157" s="8"/>
      <c r="F157" s="154" t="s">
        <v>58</v>
      </c>
      <c r="G157" s="97" t="s">
        <v>67</v>
      </c>
      <c r="H157" s="40" t="s">
        <v>68</v>
      </c>
      <c r="I157" s="30" t="s">
        <v>69</v>
      </c>
      <c r="J157" s="99" t="s">
        <v>111</v>
      </c>
      <c r="K157" s="116" t="s">
        <v>58</v>
      </c>
      <c r="L157" s="98"/>
      <c r="M157" s="11"/>
      <c r="N157" s="40"/>
      <c r="O157" s="30" t="s">
        <v>70</v>
      </c>
      <c r="P157" s="30"/>
      <c r="Q157" s="99"/>
    </row>
    <row r="158" spans="1:17" ht="12.75">
      <c r="A158" s="12"/>
      <c r="B158" s="4" t="s">
        <v>105</v>
      </c>
      <c r="C158" s="103">
        <v>100000</v>
      </c>
      <c r="D158" s="100">
        <v>250000</v>
      </c>
      <c r="E158" s="100">
        <v>500000</v>
      </c>
      <c r="F158" s="155" t="s">
        <v>71</v>
      </c>
      <c r="G158" s="101" t="s">
        <v>72</v>
      </c>
      <c r="H158" s="102" t="s">
        <v>73</v>
      </c>
      <c r="I158" s="135" t="s">
        <v>93</v>
      </c>
      <c r="J158" s="153" t="s">
        <v>112</v>
      </c>
      <c r="K158" s="117" t="s">
        <v>94</v>
      </c>
      <c r="L158" s="63" t="s">
        <v>95</v>
      </c>
      <c r="M158" s="39" t="s">
        <v>111</v>
      </c>
      <c r="N158" s="103">
        <v>100000</v>
      </c>
      <c r="O158" s="100">
        <v>250000</v>
      </c>
      <c r="P158" s="100">
        <v>500000</v>
      </c>
      <c r="Q158" s="113" t="s">
        <v>27</v>
      </c>
    </row>
    <row r="159" spans="1:17" ht="12.75">
      <c r="A159" s="56"/>
      <c r="B159" s="58"/>
      <c r="C159" s="57"/>
      <c r="D159" s="104"/>
      <c r="E159" s="58"/>
      <c r="F159" s="118" t="s">
        <v>74</v>
      </c>
      <c r="G159" s="58"/>
      <c r="H159" s="57">
        <v>2005</v>
      </c>
      <c r="I159" s="58"/>
      <c r="J159" s="140" t="s">
        <v>113</v>
      </c>
      <c r="K159" s="118" t="s">
        <v>73</v>
      </c>
      <c r="L159" s="119" t="s">
        <v>96</v>
      </c>
      <c r="M159" s="140" t="s">
        <v>112</v>
      </c>
      <c r="N159" s="57"/>
      <c r="O159" s="58"/>
      <c r="P159" s="58"/>
      <c r="Q159" s="114" t="s">
        <v>94</v>
      </c>
    </row>
    <row r="160" spans="1:17" ht="12.75">
      <c r="A160" s="130" t="s">
        <v>98</v>
      </c>
      <c r="B160" s="120" t="s">
        <v>97</v>
      </c>
      <c r="C160" s="95">
        <f aca="true" t="shared" si="65" ref="C160:Q160">SUM(C149:C151)/3</f>
        <v>117.73333333333333</v>
      </c>
      <c r="D160" s="122">
        <f t="shared" si="65"/>
        <v>117.73333333333333</v>
      </c>
      <c r="E160" s="122">
        <f t="shared" si="65"/>
        <v>117.73333333333333</v>
      </c>
      <c r="F160" s="95">
        <f t="shared" si="65"/>
        <v>164332.83333333334</v>
      </c>
      <c r="G160" s="122">
        <f t="shared" si="65"/>
        <v>117.73333333333333</v>
      </c>
      <c r="H160" s="143">
        <f t="shared" si="65"/>
        <v>1.2613333333333334</v>
      </c>
      <c r="I160" s="147">
        <f t="shared" si="65"/>
        <v>1.212</v>
      </c>
      <c r="J160" s="141">
        <f t="shared" si="65"/>
        <v>27229</v>
      </c>
      <c r="K160" s="88">
        <f t="shared" si="65"/>
        <v>96.50273224043717</v>
      </c>
      <c r="L160" s="88">
        <f t="shared" si="65"/>
        <v>104.37352245862884</v>
      </c>
      <c r="M160" s="150">
        <f t="shared" si="65"/>
        <v>107.4741582020315</v>
      </c>
      <c r="N160" s="25">
        <f t="shared" si="65"/>
        <v>0.0011773333333333334</v>
      </c>
      <c r="O160" s="25">
        <f t="shared" si="65"/>
        <v>0.0004709333333333333</v>
      </c>
      <c r="P160" s="25">
        <f t="shared" si="65"/>
        <v>0.00023546666666666665</v>
      </c>
      <c r="Q160" s="156">
        <f t="shared" si="65"/>
        <v>0.0009513343460788433</v>
      </c>
    </row>
    <row r="161" spans="1:17" ht="12.75">
      <c r="A161" s="131" t="s">
        <v>99</v>
      </c>
      <c r="B161" s="120" t="s">
        <v>102</v>
      </c>
      <c r="C161" s="95">
        <f>SUM(C133:C137)/5</f>
        <v>149.4</v>
      </c>
      <c r="D161" s="18">
        <f aca="true" t="shared" si="66" ref="D161:Q161">SUM(D133:D137)/5</f>
        <v>179.8</v>
      </c>
      <c r="E161" s="149">
        <f t="shared" si="66"/>
        <v>229.6</v>
      </c>
      <c r="F161" s="95">
        <f t="shared" si="66"/>
        <v>198984</v>
      </c>
      <c r="G161" s="18">
        <f t="shared" si="66"/>
        <v>189.20029333333338</v>
      </c>
      <c r="H161" s="26">
        <f t="shared" si="66"/>
        <v>0.8972</v>
      </c>
      <c r="I161" s="27">
        <f t="shared" si="66"/>
        <v>0.9336</v>
      </c>
      <c r="J161" s="18">
        <f t="shared" si="66"/>
        <v>22478.2</v>
      </c>
      <c r="K161" s="95">
        <f t="shared" si="66"/>
        <v>258.0440253638606</v>
      </c>
      <c r="L161" s="95">
        <f t="shared" si="66"/>
        <v>217.48691873904036</v>
      </c>
      <c r="M161" s="95">
        <f t="shared" si="66"/>
        <v>371.563860289765</v>
      </c>
      <c r="N161" s="26">
        <f t="shared" si="66"/>
        <v>0.001494</v>
      </c>
      <c r="O161" s="27">
        <f t="shared" si="66"/>
        <v>0.0007192</v>
      </c>
      <c r="P161" s="27">
        <f t="shared" si="66"/>
        <v>0.0004592</v>
      </c>
      <c r="Q161" s="28">
        <f t="shared" si="66"/>
        <v>0.0013529469376526017</v>
      </c>
    </row>
    <row r="162" spans="1:17" ht="12.75">
      <c r="A162" s="131" t="s">
        <v>100</v>
      </c>
      <c r="B162" s="120" t="s">
        <v>6</v>
      </c>
      <c r="C162" s="95">
        <f aca="true" t="shared" si="67" ref="C162:Q162">C132</f>
        <v>564</v>
      </c>
      <c r="D162" s="122">
        <f t="shared" si="67"/>
        <v>657</v>
      </c>
      <c r="E162" s="122">
        <f t="shared" si="67"/>
        <v>803</v>
      </c>
      <c r="F162" s="95">
        <f t="shared" si="67"/>
        <v>202000</v>
      </c>
      <c r="G162" s="122">
        <f t="shared" si="67"/>
        <v>627.24</v>
      </c>
      <c r="H162" s="26">
        <f t="shared" si="67"/>
        <v>1.052</v>
      </c>
      <c r="I162" s="27">
        <f t="shared" si="67"/>
        <v>1.064</v>
      </c>
      <c r="J162" s="18">
        <f t="shared" si="67"/>
        <v>29554</v>
      </c>
      <c r="K162" s="89">
        <f t="shared" si="67"/>
        <v>596.2357414448669</v>
      </c>
      <c r="L162" s="89">
        <f t="shared" si="67"/>
        <v>589.5112781954887</v>
      </c>
      <c r="M162" s="149">
        <f t="shared" si="67"/>
        <v>484.46936049265753</v>
      </c>
      <c r="N162" s="25">
        <f t="shared" si="67"/>
        <v>0.00564</v>
      </c>
      <c r="O162" s="25">
        <f t="shared" si="67"/>
        <v>0.002628</v>
      </c>
      <c r="P162" s="25">
        <f t="shared" si="67"/>
        <v>0.001606</v>
      </c>
      <c r="Q162" s="28">
        <f t="shared" si="67"/>
        <v>0.003105148514851485</v>
      </c>
    </row>
    <row r="163" spans="1:17" ht="12.75">
      <c r="A163" s="132" t="s">
        <v>101</v>
      </c>
      <c r="B163" s="120" t="s">
        <v>103</v>
      </c>
      <c r="C163" s="95">
        <f aca="true" t="shared" si="68" ref="C163:Q163">SUM(C139:C147)/9</f>
        <v>360.59666666666664</v>
      </c>
      <c r="D163" s="122">
        <f t="shared" si="68"/>
        <v>582.0988888888888</v>
      </c>
      <c r="E163" s="122">
        <f t="shared" si="68"/>
        <v>801.1333333333333</v>
      </c>
      <c r="F163" s="95">
        <f t="shared" si="68"/>
        <v>141850.4903726802</v>
      </c>
      <c r="G163" s="122">
        <f t="shared" si="68"/>
        <v>491.3339880966602</v>
      </c>
      <c r="H163" s="144">
        <f t="shared" si="68"/>
        <v>0.9262222222222223</v>
      </c>
      <c r="I163" s="148">
        <f t="shared" si="68"/>
        <v>0.8996666666666666</v>
      </c>
      <c r="J163" s="21">
        <f t="shared" si="68"/>
        <v>19680.666666666668</v>
      </c>
      <c r="K163" s="127">
        <f t="shared" si="68"/>
        <v>502.4703121676778</v>
      </c>
      <c r="L163" s="127">
        <f t="shared" si="68"/>
        <v>520.6172902580784</v>
      </c>
      <c r="M163" s="134">
        <f t="shared" si="68"/>
        <v>592.0251345439017</v>
      </c>
      <c r="N163" s="25">
        <f t="shared" si="68"/>
        <v>0.0036059666666666663</v>
      </c>
      <c r="O163" s="25">
        <f t="shared" si="68"/>
        <v>0.002328395555555555</v>
      </c>
      <c r="P163" s="25">
        <f t="shared" si="68"/>
        <v>0.0016022666666666667</v>
      </c>
      <c r="Q163" s="157">
        <f t="shared" si="68"/>
        <v>0.00342385219249797</v>
      </c>
    </row>
    <row r="164" spans="1:17" ht="15.75">
      <c r="A164" s="124"/>
      <c r="B164" s="125" t="s">
        <v>107</v>
      </c>
      <c r="C164" s="111">
        <f>C152</f>
        <v>322.4785</v>
      </c>
      <c r="D164" s="110">
        <f>D152</f>
        <v>465.9045</v>
      </c>
      <c r="E164" s="110">
        <f>E152</f>
        <v>618.22</v>
      </c>
      <c r="F164" s="111">
        <f>F152</f>
        <v>159828.6456677061</v>
      </c>
      <c r="G164" s="110">
        <f>G152</f>
        <v>394.4223679768304</v>
      </c>
      <c r="H164" s="142"/>
      <c r="I164" s="146"/>
      <c r="J164" s="41"/>
      <c r="K164" s="126">
        <f aca="true" t="shared" si="69" ref="K164:Q164">K152</f>
        <v>445.144654114265</v>
      </c>
      <c r="L164" s="126">
        <f t="shared" si="69"/>
        <v>448.3338930964678</v>
      </c>
      <c r="M164" s="151">
        <f t="shared" si="69"/>
        <v>635.9178517176788</v>
      </c>
      <c r="N164" s="52">
        <f t="shared" si="69"/>
        <v>0.003224785</v>
      </c>
      <c r="O164" s="53">
        <f t="shared" si="69"/>
        <v>0.0018636180000000003</v>
      </c>
      <c r="P164" s="53">
        <f t="shared" si="69"/>
        <v>0.00123644</v>
      </c>
      <c r="Q164" s="54">
        <f t="shared" si="69"/>
        <v>0.0028892354909993297</v>
      </c>
    </row>
    <row r="165" ht="12.75">
      <c r="A165" s="73"/>
    </row>
    <row r="166" ht="12.75">
      <c r="A166" s="73"/>
    </row>
    <row r="169" spans="1:2" ht="12.75">
      <c r="A169" t="s">
        <v>75</v>
      </c>
      <c r="B169" s="91" t="s">
        <v>60</v>
      </c>
    </row>
    <row r="170" ht="12.75">
      <c r="A170" t="s">
        <v>76</v>
      </c>
    </row>
    <row r="171" ht="12.75">
      <c r="B171" t="s">
        <v>115</v>
      </c>
    </row>
    <row r="172" spans="1:2" ht="12.75">
      <c r="A172" t="s">
        <v>114</v>
      </c>
      <c r="B172" t="s">
        <v>77</v>
      </c>
    </row>
    <row r="173" ht="12.75">
      <c r="B173" t="s">
        <v>78</v>
      </c>
    </row>
    <row r="174" ht="12.75">
      <c r="A174" t="s">
        <v>152</v>
      </c>
    </row>
    <row r="175" spans="1:2" ht="12.75">
      <c r="A175" t="s">
        <v>79</v>
      </c>
      <c r="B175" t="s">
        <v>200</v>
      </c>
    </row>
    <row r="177" spans="1:2" ht="12.75">
      <c r="A177" t="s">
        <v>80</v>
      </c>
      <c r="B177" t="s">
        <v>81</v>
      </c>
    </row>
    <row r="178" ht="12.75">
      <c r="B178" t="s">
        <v>82</v>
      </c>
    </row>
    <row r="179" ht="12.75">
      <c r="B179" t="s">
        <v>83</v>
      </c>
    </row>
    <row r="180" ht="12.75">
      <c r="B180" t="s">
        <v>84</v>
      </c>
    </row>
    <row r="181" spans="1:2" ht="12.75">
      <c r="A181" t="s">
        <v>85</v>
      </c>
      <c r="B181" s="112" t="s">
        <v>86</v>
      </c>
    </row>
    <row r="182" ht="15.75">
      <c r="B182" s="112" t="s">
        <v>87</v>
      </c>
    </row>
    <row r="183" spans="2:3" ht="12.75">
      <c r="B183" s="112"/>
      <c r="C183" s="112" t="s">
        <v>88</v>
      </c>
    </row>
    <row r="184" ht="12.75">
      <c r="B184" s="112" t="s">
        <v>89</v>
      </c>
    </row>
    <row r="185" ht="12.75">
      <c r="B185" s="112" t="s">
        <v>90</v>
      </c>
    </row>
    <row r="186" spans="1:2" ht="12.75">
      <c r="A186" t="s">
        <v>153</v>
      </c>
      <c r="B186" s="112"/>
    </row>
    <row r="187" spans="1:2" ht="12.75">
      <c r="A187" t="s">
        <v>183</v>
      </c>
      <c r="B187" s="73" t="s">
        <v>184</v>
      </c>
    </row>
    <row r="188" ht="12.75">
      <c r="B188" s="164" t="s">
        <v>187</v>
      </c>
    </row>
    <row r="189" spans="1:2" ht="12.75">
      <c r="A189" t="s">
        <v>116</v>
      </c>
      <c r="B189" s="112" t="s">
        <v>186</v>
      </c>
    </row>
    <row r="190" ht="12.75">
      <c r="B190" s="112" t="s">
        <v>117</v>
      </c>
    </row>
    <row r="191" spans="1:2" ht="15.75">
      <c r="A191" t="s">
        <v>91</v>
      </c>
      <c r="B191" s="112" t="s">
        <v>92</v>
      </c>
    </row>
    <row r="193" ht="12.75">
      <c r="A193" t="s">
        <v>108</v>
      </c>
    </row>
  </sheetData>
  <printOptions/>
  <pageMargins left="0.3937007874015748" right="0.1968503937007874" top="0.7086614173228347" bottom="0.5905511811023623" header="0.3937007874015748" footer="0.31496062992125984"/>
  <pageSetup horizontalDpi="600" verticalDpi="600" orientation="landscape" paperSize="9" scale="53" r:id="rId1"/>
  <rowBreaks count="2" manualBreakCount="2">
    <brk id="64" max="25" man="1"/>
    <brk id="122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U261"/>
  <sheetViews>
    <sheetView zoomScale="40" zoomScaleNormal="40" workbookViewId="0" topLeftCell="A1">
      <selection activeCell="R260" sqref="R260"/>
    </sheetView>
  </sheetViews>
  <sheetFormatPr defaultColWidth="9.140625" defaultRowHeight="12.75"/>
  <cols>
    <col min="1" max="1" width="11.57421875" style="294" customWidth="1"/>
    <col min="2" max="2" width="3.7109375" style="294" customWidth="1"/>
    <col min="3" max="3" width="15.7109375" style="294" customWidth="1"/>
    <col min="4" max="5" width="11.421875" style="294" customWidth="1"/>
    <col min="6" max="11" width="11.7109375" style="294" customWidth="1"/>
    <col min="12" max="12" width="9.8515625" style="294" customWidth="1"/>
    <col min="13" max="14" width="8.7109375" style="294" customWidth="1"/>
    <col min="15" max="18" width="9.7109375" style="294" customWidth="1"/>
    <col min="19" max="19" width="8.7109375" style="294" customWidth="1"/>
    <col min="20" max="23" width="9.7109375" style="294" customWidth="1"/>
    <col min="24" max="24" width="9.28125" style="294" customWidth="1"/>
    <col min="25" max="25" width="9.421875" style="294" customWidth="1"/>
    <col min="26" max="27" width="8.7109375" style="294" customWidth="1"/>
    <col min="28" max="28" width="11.57421875" style="294" customWidth="1"/>
    <col min="29" max="29" width="20.7109375" style="294" customWidth="1"/>
    <col min="30" max="36" width="12.7109375" style="294" customWidth="1"/>
    <col min="37" max="38" width="11.57421875" style="294" customWidth="1"/>
    <col min="39" max="39" width="20.7109375" style="294" customWidth="1"/>
    <col min="40" max="46" width="12.7109375" style="294" customWidth="1"/>
    <col min="47" max="16384" width="11.57421875" style="294" customWidth="1"/>
  </cols>
  <sheetData>
    <row r="1" spans="1:5" ht="12.75">
      <c r="A1" s="293"/>
      <c r="B1" s="293"/>
      <c r="C1" s="293"/>
      <c r="D1" s="293"/>
      <c r="E1" s="188" t="s">
        <v>126</v>
      </c>
    </row>
    <row r="2" spans="39:46" ht="12.75">
      <c r="AM2" s="295"/>
      <c r="AN2" s="189" t="s">
        <v>150</v>
      </c>
      <c r="AO2" s="189"/>
      <c r="AP2" s="296"/>
      <c r="AQ2" s="189"/>
      <c r="AR2" s="190"/>
      <c r="AS2" s="297"/>
      <c r="AT2" s="298"/>
    </row>
    <row r="3" spans="5:46" ht="12.75">
      <c r="E3" s="191" t="s">
        <v>147</v>
      </c>
      <c r="AC3" s="295"/>
      <c r="AD3" s="189" t="s">
        <v>148</v>
      </c>
      <c r="AE3" s="296"/>
      <c r="AF3" s="189"/>
      <c r="AG3" s="190"/>
      <c r="AH3" s="297"/>
      <c r="AI3" s="296"/>
      <c r="AJ3" s="298"/>
      <c r="AM3" s="299"/>
      <c r="AN3" s="300"/>
      <c r="AO3" s="300"/>
      <c r="AP3" s="300"/>
      <c r="AQ3" s="300"/>
      <c r="AR3" s="300"/>
      <c r="AS3" s="300"/>
      <c r="AT3" s="301"/>
    </row>
    <row r="4" spans="3:47" ht="12.75">
      <c r="C4" s="295"/>
      <c r="D4" s="296"/>
      <c r="E4" s="189">
        <v>100000</v>
      </c>
      <c r="F4" s="190" t="s">
        <v>127</v>
      </c>
      <c r="G4" s="297"/>
      <c r="H4" s="296"/>
      <c r="I4" s="296"/>
      <c r="J4" s="296"/>
      <c r="K4" s="296"/>
      <c r="L4" s="298"/>
      <c r="N4" s="192"/>
      <c r="O4" s="171" t="s">
        <v>28</v>
      </c>
      <c r="P4" s="172"/>
      <c r="Q4" s="298"/>
      <c r="R4" s="295"/>
      <c r="S4" s="172" t="s">
        <v>21</v>
      </c>
      <c r="T4" s="298"/>
      <c r="U4" s="295"/>
      <c r="V4" s="172" t="s">
        <v>24</v>
      </c>
      <c r="W4" s="298"/>
      <c r="X4" s="295"/>
      <c r="Y4" s="172" t="s">
        <v>39</v>
      </c>
      <c r="Z4" s="298"/>
      <c r="AA4" s="300"/>
      <c r="AC4" s="299"/>
      <c r="AD4" s="300"/>
      <c r="AE4" s="300"/>
      <c r="AF4" s="300"/>
      <c r="AG4" s="300"/>
      <c r="AH4" s="300"/>
      <c r="AI4" s="300"/>
      <c r="AJ4" s="301"/>
      <c r="AM4" s="174"/>
      <c r="AN4" s="175"/>
      <c r="AO4" s="62" t="s">
        <v>40</v>
      </c>
      <c r="AP4" s="62" t="s">
        <v>32</v>
      </c>
      <c r="AQ4" s="62" t="s">
        <v>46</v>
      </c>
      <c r="AR4" s="62" t="s">
        <v>33</v>
      </c>
      <c r="AS4" s="62" t="s">
        <v>17</v>
      </c>
      <c r="AT4" s="60" t="s">
        <v>34</v>
      </c>
      <c r="AU4" s="299"/>
    </row>
    <row r="5" spans="3:47" ht="12.75">
      <c r="C5" s="299"/>
      <c r="D5" s="300"/>
      <c r="E5" s="300"/>
      <c r="F5" s="300"/>
      <c r="G5" s="300"/>
      <c r="H5" s="300"/>
      <c r="I5" s="300"/>
      <c r="J5" s="300"/>
      <c r="K5" s="300"/>
      <c r="L5" s="301"/>
      <c r="N5" s="302"/>
      <c r="O5" s="303" t="s">
        <v>29</v>
      </c>
      <c r="P5" s="303"/>
      <c r="Q5" s="304"/>
      <c r="R5" s="299"/>
      <c r="S5" s="303" t="s">
        <v>29</v>
      </c>
      <c r="T5" s="301"/>
      <c r="U5" s="299"/>
      <c r="V5" s="303" t="s">
        <v>29</v>
      </c>
      <c r="W5" s="301"/>
      <c r="X5" s="299"/>
      <c r="Y5" s="303" t="s">
        <v>29</v>
      </c>
      <c r="Z5" s="301"/>
      <c r="AA5" s="300"/>
      <c r="AC5" s="174"/>
      <c r="AD5" s="175"/>
      <c r="AE5" s="62" t="s">
        <v>40</v>
      </c>
      <c r="AF5" s="62" t="s">
        <v>32</v>
      </c>
      <c r="AG5" s="62" t="s">
        <v>46</v>
      </c>
      <c r="AH5" s="62" t="s">
        <v>33</v>
      </c>
      <c r="AI5" s="62" t="s">
        <v>17</v>
      </c>
      <c r="AJ5" s="193" t="s">
        <v>149</v>
      </c>
      <c r="AM5" s="173" t="s">
        <v>12</v>
      </c>
      <c r="AN5" s="162">
        <v>100000</v>
      </c>
      <c r="AO5" s="162">
        <f aca="true" t="shared" si="0" ref="AO5:AT5">D7</f>
        <v>6000</v>
      </c>
      <c r="AP5" s="162" t="str">
        <f t="shared" si="0"/>
        <v>n.r.</v>
      </c>
      <c r="AQ5" s="162">
        <f t="shared" si="0"/>
        <v>1400</v>
      </c>
      <c r="AR5" s="162">
        <f t="shared" si="0"/>
        <v>1840</v>
      </c>
      <c r="AS5" s="162">
        <f t="shared" si="0"/>
        <v>3500.0000000000005</v>
      </c>
      <c r="AT5" s="194">
        <f t="shared" si="0"/>
        <v>12740</v>
      </c>
      <c r="AU5" s="300"/>
    </row>
    <row r="6" spans="3:46" ht="12.75">
      <c r="C6" s="174" t="s">
        <v>11</v>
      </c>
      <c r="D6" s="62" t="s">
        <v>40</v>
      </c>
      <c r="E6" s="62" t="s">
        <v>32</v>
      </c>
      <c r="F6" s="62" t="s">
        <v>46</v>
      </c>
      <c r="G6" s="62" t="s">
        <v>33</v>
      </c>
      <c r="H6" s="62" t="s">
        <v>17</v>
      </c>
      <c r="I6" s="62" t="s">
        <v>34</v>
      </c>
      <c r="J6" s="62" t="s">
        <v>36</v>
      </c>
      <c r="K6" s="62" t="s">
        <v>42</v>
      </c>
      <c r="L6" s="60" t="s">
        <v>18</v>
      </c>
      <c r="M6" s="195"/>
      <c r="N6" s="61" t="s">
        <v>37</v>
      </c>
      <c r="O6" s="62" t="s">
        <v>22</v>
      </c>
      <c r="P6" s="62" t="s">
        <v>23</v>
      </c>
      <c r="Q6" s="60" t="s">
        <v>38</v>
      </c>
      <c r="R6" s="61" t="s">
        <v>22</v>
      </c>
      <c r="S6" s="62" t="s">
        <v>23</v>
      </c>
      <c r="T6" s="60" t="s">
        <v>38</v>
      </c>
      <c r="U6" s="61" t="s">
        <v>25</v>
      </c>
      <c r="V6" s="62" t="s">
        <v>26</v>
      </c>
      <c r="W6" s="60" t="s">
        <v>47</v>
      </c>
      <c r="X6" s="61" t="s">
        <v>25</v>
      </c>
      <c r="Y6" s="62" t="s">
        <v>26</v>
      </c>
      <c r="Z6" s="60" t="s">
        <v>47</v>
      </c>
      <c r="AA6" s="24"/>
      <c r="AC6" s="196" t="s">
        <v>12</v>
      </c>
      <c r="AD6" s="162">
        <v>100000</v>
      </c>
      <c r="AE6" s="162">
        <f aca="true" t="shared" si="1" ref="AE6:AJ6">D7</f>
        <v>6000</v>
      </c>
      <c r="AF6" s="197" t="str">
        <f t="shared" si="1"/>
        <v>n.r.</v>
      </c>
      <c r="AG6" s="162">
        <f t="shared" si="1"/>
        <v>1400</v>
      </c>
      <c r="AH6" s="162">
        <f t="shared" si="1"/>
        <v>1840</v>
      </c>
      <c r="AI6" s="162">
        <f t="shared" si="1"/>
        <v>3500.0000000000005</v>
      </c>
      <c r="AJ6" s="198">
        <f t="shared" si="1"/>
        <v>12740</v>
      </c>
      <c r="AK6" s="24"/>
      <c r="AM6" s="173" t="s">
        <v>12</v>
      </c>
      <c r="AN6" s="162">
        <v>250000</v>
      </c>
      <c r="AO6" s="162">
        <f aca="true" t="shared" si="2" ref="AO6:AT6">D34</f>
        <v>15000</v>
      </c>
      <c r="AP6" s="162" t="str">
        <f t="shared" si="2"/>
        <v>n.r.</v>
      </c>
      <c r="AQ6" s="162">
        <f t="shared" si="2"/>
        <v>1900</v>
      </c>
      <c r="AR6" s="162">
        <f t="shared" si="2"/>
        <v>4600</v>
      </c>
      <c r="AS6" s="162">
        <f t="shared" si="2"/>
        <v>8750</v>
      </c>
      <c r="AT6" s="194">
        <f t="shared" si="2"/>
        <v>30250</v>
      </c>
    </row>
    <row r="7" spans="1:46" ht="12.75">
      <c r="A7" s="305">
        <v>0.7</v>
      </c>
      <c r="B7" s="305"/>
      <c r="C7" s="173" t="s">
        <v>12</v>
      </c>
      <c r="D7" s="162">
        <f>'no mortgage'!C7+'additional costs mortgage'!C7*'partial 70% mortgage'!A7</f>
        <v>6000</v>
      </c>
      <c r="E7" s="197" t="s">
        <v>43</v>
      </c>
      <c r="F7" s="162">
        <f>'no mortgage'!E7+'additional costs mortgage'!E7*'partial 70% mortgage'!A7</f>
        <v>1400</v>
      </c>
      <c r="G7" s="162">
        <f>'no mortgage'!F7+'additional costs mortgage'!F7*'partial 70% mortgage'!A7</f>
        <v>1840</v>
      </c>
      <c r="H7" s="162">
        <f>'no mortgage'!G7+'additional costs mortgage'!G7*'partial 70% mortgage'!A7</f>
        <v>3500.0000000000005</v>
      </c>
      <c r="I7" s="199">
        <f aca="true" t="shared" si="3" ref="I7:I26">SUM(D7:H7)</f>
        <v>12740</v>
      </c>
      <c r="J7" s="162">
        <f aca="true" t="shared" si="4" ref="J7:J26">SUM(D7:G7)</f>
        <v>9240</v>
      </c>
      <c r="K7" s="162">
        <f aca="true" t="shared" si="5" ref="K7:K26">SUM(D7:F7)</f>
        <v>7400</v>
      </c>
      <c r="L7" s="200">
        <v>0.2</v>
      </c>
      <c r="M7" s="306"/>
      <c r="N7" s="307">
        <f aca="true" t="shared" si="6" ref="N7:N26">I7/100000</f>
        <v>0.1274</v>
      </c>
      <c r="O7" s="308">
        <f aca="true" t="shared" si="7" ref="O7:O26">H7/100000</f>
        <v>0.035</v>
      </c>
      <c r="P7" s="308">
        <f aca="true" t="shared" si="8" ref="P7:P26">G7/100000</f>
        <v>0.0184</v>
      </c>
      <c r="Q7" s="309">
        <f aca="true" t="shared" si="9" ref="Q7:Q26">K7/100000</f>
        <v>0.074</v>
      </c>
      <c r="R7" s="310">
        <f aca="true" t="shared" si="10" ref="R7:R26">H7/I7</f>
        <v>0.27472527472527475</v>
      </c>
      <c r="S7" s="311">
        <f aca="true" t="shared" si="11" ref="S7:S26">G7/I7</f>
        <v>0.14442700156985872</v>
      </c>
      <c r="T7" s="312">
        <f aca="true" t="shared" si="12" ref="T7:T26">K7/I7</f>
        <v>0.5808477237048666</v>
      </c>
      <c r="U7" s="310">
        <f aca="true" t="shared" si="13" ref="U7:U26">D7/K7</f>
        <v>0.8108108108108109</v>
      </c>
      <c r="V7" s="311"/>
      <c r="W7" s="312">
        <f aca="true" t="shared" si="14" ref="W7:W26">F7/K7</f>
        <v>0.1891891891891892</v>
      </c>
      <c r="X7" s="310">
        <f aca="true" t="shared" si="15" ref="X7:X26">D7/100000</f>
        <v>0.06</v>
      </c>
      <c r="Y7" s="311"/>
      <c r="Z7" s="312">
        <f aca="true" t="shared" si="16" ref="Z7:Z26">F7/100000</f>
        <v>0.014</v>
      </c>
      <c r="AA7" s="311"/>
      <c r="AC7" s="173" t="s">
        <v>12</v>
      </c>
      <c r="AD7" s="162">
        <v>250000</v>
      </c>
      <c r="AE7" s="162">
        <f aca="true" t="shared" si="17" ref="AE7:AJ7">D34</f>
        <v>15000</v>
      </c>
      <c r="AF7" s="197" t="str">
        <f t="shared" si="17"/>
        <v>n.r.</v>
      </c>
      <c r="AG7" s="162">
        <f t="shared" si="17"/>
        <v>1900</v>
      </c>
      <c r="AH7" s="162">
        <f t="shared" si="17"/>
        <v>4600</v>
      </c>
      <c r="AI7" s="162">
        <f t="shared" si="17"/>
        <v>8750</v>
      </c>
      <c r="AJ7" s="198">
        <f t="shared" si="17"/>
        <v>30250</v>
      </c>
      <c r="AK7" s="162"/>
      <c r="AM7" s="299"/>
      <c r="AN7" s="300"/>
      <c r="AO7" s="300"/>
      <c r="AP7" s="300"/>
      <c r="AQ7" s="300"/>
      <c r="AR7" s="300"/>
      <c r="AS7" s="300"/>
      <c r="AT7" s="201"/>
    </row>
    <row r="8" spans="1:46" ht="15.75">
      <c r="A8" s="305">
        <v>0.7</v>
      </c>
      <c r="B8" s="305"/>
      <c r="C8" s="173" t="s">
        <v>13</v>
      </c>
      <c r="D8" s="162">
        <f>'no mortgage'!C8+'additional costs mortgage'!C8*'partial 70% mortgage'!A8</f>
        <v>3000</v>
      </c>
      <c r="E8" s="197" t="s">
        <v>43</v>
      </c>
      <c r="F8" s="162">
        <f>'no mortgage'!E8+'additional costs mortgage'!E8*'partial 70% mortgage'!A8</f>
        <v>1986.728</v>
      </c>
      <c r="G8" s="162">
        <f>'no mortgage'!F8+'additional costs mortgage'!F8*'partial 70% mortgage'!A8</f>
        <v>505</v>
      </c>
      <c r="H8" s="162">
        <f>'no mortgage'!G8+'additional costs mortgage'!G8*'partial 70% mortgage'!A8</f>
        <v>12270</v>
      </c>
      <c r="I8" s="198">
        <f t="shared" si="3"/>
        <v>17761.728</v>
      </c>
      <c r="J8" s="162">
        <f t="shared" si="4"/>
        <v>5491.728</v>
      </c>
      <c r="K8" s="162">
        <f t="shared" si="5"/>
        <v>4986.728</v>
      </c>
      <c r="L8" s="202">
        <v>0.21</v>
      </c>
      <c r="M8" s="203"/>
      <c r="N8" s="307">
        <f t="shared" si="6"/>
        <v>0.17761728</v>
      </c>
      <c r="O8" s="308">
        <f t="shared" si="7"/>
        <v>0.1227</v>
      </c>
      <c r="P8" s="308">
        <f t="shared" si="8"/>
        <v>0.00505</v>
      </c>
      <c r="Q8" s="309">
        <f t="shared" si="9"/>
        <v>0.04986728</v>
      </c>
      <c r="R8" s="310">
        <f t="shared" si="10"/>
        <v>0.6908111643191474</v>
      </c>
      <c r="S8" s="311">
        <f t="shared" si="11"/>
        <v>0.028431918335873628</v>
      </c>
      <c r="T8" s="312">
        <f t="shared" si="12"/>
        <v>0.28075691734497904</v>
      </c>
      <c r="U8" s="310">
        <f t="shared" si="13"/>
        <v>0.6015968787549671</v>
      </c>
      <c r="V8" s="311"/>
      <c r="W8" s="312">
        <f t="shared" si="14"/>
        <v>0.3984031212450328</v>
      </c>
      <c r="X8" s="310">
        <f t="shared" si="15"/>
        <v>0.03</v>
      </c>
      <c r="Y8" s="311"/>
      <c r="Z8" s="312">
        <f t="shared" si="16"/>
        <v>0.01986728</v>
      </c>
      <c r="AA8" s="311"/>
      <c r="AC8" s="173" t="s">
        <v>12</v>
      </c>
      <c r="AD8" s="162">
        <v>500000</v>
      </c>
      <c r="AE8" s="162">
        <f aca="true" t="shared" si="18" ref="AE8:AJ8">D68</f>
        <v>30000</v>
      </c>
      <c r="AF8" s="197" t="str">
        <f t="shared" si="18"/>
        <v>n.r.</v>
      </c>
      <c r="AG8" s="162">
        <f t="shared" si="18"/>
        <v>2900</v>
      </c>
      <c r="AH8" s="162">
        <f t="shared" si="18"/>
        <v>9200</v>
      </c>
      <c r="AI8" s="162">
        <f t="shared" si="18"/>
        <v>17500</v>
      </c>
      <c r="AJ8" s="198">
        <f t="shared" si="18"/>
        <v>59600</v>
      </c>
      <c r="AK8" s="162"/>
      <c r="AM8" s="173" t="s">
        <v>13</v>
      </c>
      <c r="AN8" s="162">
        <v>100000</v>
      </c>
      <c r="AO8" s="162">
        <f aca="true" t="shared" si="19" ref="AO8:AT8">D8</f>
        <v>3000</v>
      </c>
      <c r="AP8" s="162" t="str">
        <f t="shared" si="19"/>
        <v>n.r.</v>
      </c>
      <c r="AQ8" s="162">
        <f t="shared" si="19"/>
        <v>1986.728</v>
      </c>
      <c r="AR8" s="162">
        <f t="shared" si="19"/>
        <v>505</v>
      </c>
      <c r="AS8" s="162">
        <f t="shared" si="19"/>
        <v>12270</v>
      </c>
      <c r="AT8" s="194">
        <f t="shared" si="19"/>
        <v>17761.728</v>
      </c>
    </row>
    <row r="9" spans="1:46" ht="15.75">
      <c r="A9" s="305">
        <v>0.7</v>
      </c>
      <c r="B9" s="305"/>
      <c r="C9" s="173" t="s">
        <v>154</v>
      </c>
      <c r="D9" s="162">
        <f>'no mortgage'!C9+'additional costs mortgage'!C9*'partial 70% mortgage'!A9</f>
        <v>5000</v>
      </c>
      <c r="E9" s="162">
        <f>'no mortgage'!D9+'additional costs mortgage'!D9*'partial 70% mortgage'!A9</f>
        <v>350</v>
      </c>
      <c r="F9" s="162">
        <f>'no mortgage'!E9+'additional costs mortgage'!E9*'partial 70% mortgage'!A9</f>
        <v>850</v>
      </c>
      <c r="G9" s="162">
        <f>'no mortgage'!F9+'additional costs mortgage'!F9*'partial 70% mortgage'!A9</f>
        <v>17</v>
      </c>
      <c r="H9" s="162">
        <f>'no mortgage'!G9+'additional costs mortgage'!G9*'partial 70% mortgage'!A9</f>
        <v>0</v>
      </c>
      <c r="I9" s="198">
        <f t="shared" si="3"/>
        <v>6217</v>
      </c>
      <c r="J9" s="162">
        <f t="shared" si="4"/>
        <v>6217</v>
      </c>
      <c r="K9" s="162">
        <f t="shared" si="5"/>
        <v>6200</v>
      </c>
      <c r="L9" s="202">
        <v>0.19</v>
      </c>
      <c r="M9" s="203"/>
      <c r="N9" s="307">
        <f t="shared" si="6"/>
        <v>0.06217</v>
      </c>
      <c r="O9" s="308">
        <f t="shared" si="7"/>
        <v>0</v>
      </c>
      <c r="P9" s="308">
        <f t="shared" si="8"/>
        <v>0.00017</v>
      </c>
      <c r="Q9" s="309">
        <f t="shared" si="9"/>
        <v>0.062</v>
      </c>
      <c r="R9" s="310">
        <f t="shared" si="10"/>
        <v>0</v>
      </c>
      <c r="S9" s="311">
        <f t="shared" si="11"/>
        <v>0.0027344378317516486</v>
      </c>
      <c r="T9" s="312">
        <f t="shared" si="12"/>
        <v>0.9972655621682484</v>
      </c>
      <c r="U9" s="310">
        <f t="shared" si="13"/>
        <v>0.8064516129032258</v>
      </c>
      <c r="V9" s="311">
        <f>E9/K9</f>
        <v>0.056451612903225805</v>
      </c>
      <c r="W9" s="312">
        <f t="shared" si="14"/>
        <v>0.13709677419354838</v>
      </c>
      <c r="X9" s="204">
        <f t="shared" si="15"/>
        <v>0.05</v>
      </c>
      <c r="Y9" s="311">
        <f>E9/100000</f>
        <v>0.0035</v>
      </c>
      <c r="Z9" s="205">
        <f t="shared" si="16"/>
        <v>0.0085</v>
      </c>
      <c r="AA9" s="311"/>
      <c r="AC9" s="181" t="s">
        <v>12</v>
      </c>
      <c r="AD9" s="182" t="s">
        <v>58</v>
      </c>
      <c r="AE9" s="206">
        <f aca="true" t="shared" si="20" ref="AE9:AJ9">D97</f>
        <v>9000</v>
      </c>
      <c r="AF9" s="207" t="str">
        <f t="shared" si="20"/>
        <v>n.r.</v>
      </c>
      <c r="AG9" s="206">
        <f t="shared" si="20"/>
        <v>1566.6666666666667</v>
      </c>
      <c r="AH9" s="206">
        <f t="shared" si="20"/>
        <v>2760</v>
      </c>
      <c r="AI9" s="206">
        <f t="shared" si="20"/>
        <v>5250.000000000001</v>
      </c>
      <c r="AJ9" s="208">
        <f t="shared" si="20"/>
        <v>18576.666666666668</v>
      </c>
      <c r="AK9" s="162"/>
      <c r="AM9" s="173" t="s">
        <v>13</v>
      </c>
      <c r="AN9" s="162">
        <v>250000</v>
      </c>
      <c r="AO9" s="162">
        <f aca="true" t="shared" si="21" ref="AO9:AT9">D35</f>
        <v>7500</v>
      </c>
      <c r="AP9" s="162" t="str">
        <f t="shared" si="21"/>
        <v>n.r.</v>
      </c>
      <c r="AQ9" s="162">
        <f t="shared" si="21"/>
        <v>3080.828</v>
      </c>
      <c r="AR9" s="162">
        <f t="shared" si="21"/>
        <v>1140</v>
      </c>
      <c r="AS9" s="162">
        <f t="shared" si="21"/>
        <v>30675</v>
      </c>
      <c r="AT9" s="194">
        <f t="shared" si="21"/>
        <v>42395.828</v>
      </c>
    </row>
    <row r="10" spans="1:46" ht="15.75">
      <c r="A10" s="305">
        <v>0.7</v>
      </c>
      <c r="B10" s="305"/>
      <c r="C10" s="299" t="s">
        <v>14</v>
      </c>
      <c r="D10" s="162">
        <f>'no mortgage'!C10+'additional costs mortgage'!C10*'partial 70% mortgage'!A10</f>
        <v>4147</v>
      </c>
      <c r="E10" s="162">
        <f>'no mortgage'!D10+'additional costs mortgage'!D10*'partial 70% mortgage'!A10</f>
        <v>1020</v>
      </c>
      <c r="F10" s="162">
        <f>'no mortgage'!E10+'additional costs mortgage'!E10*'partial 70% mortgage'!A10</f>
        <v>1013</v>
      </c>
      <c r="G10" s="162">
        <f>'no mortgage'!F10+'additional costs mortgage'!F10*'partial 70% mortgage'!A10</f>
        <v>1967.8999999999999</v>
      </c>
      <c r="H10" s="162">
        <f>'no mortgage'!G10+'additional costs mortgage'!G10*'partial 70% mortgage'!A10</f>
        <v>0</v>
      </c>
      <c r="I10" s="198">
        <f t="shared" si="3"/>
        <v>8147.9</v>
      </c>
      <c r="J10" s="162">
        <f t="shared" si="4"/>
        <v>8147.9</v>
      </c>
      <c r="K10" s="162">
        <f t="shared" si="5"/>
        <v>6180</v>
      </c>
      <c r="L10" s="202">
        <v>0.25</v>
      </c>
      <c r="M10" s="203"/>
      <c r="N10" s="307">
        <f t="shared" si="6"/>
        <v>0.081479</v>
      </c>
      <c r="O10" s="308">
        <f t="shared" si="7"/>
        <v>0</v>
      </c>
      <c r="P10" s="308">
        <f t="shared" si="8"/>
        <v>0.019679</v>
      </c>
      <c r="Q10" s="309">
        <f t="shared" si="9"/>
        <v>0.0618</v>
      </c>
      <c r="R10" s="310">
        <f t="shared" si="10"/>
        <v>0</v>
      </c>
      <c r="S10" s="311">
        <f t="shared" si="11"/>
        <v>0.24152235545355244</v>
      </c>
      <c r="T10" s="312">
        <f t="shared" si="12"/>
        <v>0.7584776445464476</v>
      </c>
      <c r="U10" s="310">
        <f t="shared" si="13"/>
        <v>0.6710355987055017</v>
      </c>
      <c r="V10" s="311">
        <f>E10/K10</f>
        <v>0.1650485436893204</v>
      </c>
      <c r="W10" s="312">
        <f t="shared" si="14"/>
        <v>0.163915857605178</v>
      </c>
      <c r="X10" s="209">
        <f t="shared" si="15"/>
        <v>0.04147</v>
      </c>
      <c r="Y10" s="311">
        <f>E10/100000</f>
        <v>0.0102</v>
      </c>
      <c r="Z10" s="210">
        <f t="shared" si="16"/>
        <v>0.01013</v>
      </c>
      <c r="AA10" s="211"/>
      <c r="AC10" s="295"/>
      <c r="AD10" s="296"/>
      <c r="AE10" s="296"/>
      <c r="AF10" s="296"/>
      <c r="AG10" s="296"/>
      <c r="AH10" s="296"/>
      <c r="AI10" s="296"/>
      <c r="AJ10" s="313"/>
      <c r="AK10" s="162"/>
      <c r="AM10" s="299"/>
      <c r="AN10" s="300"/>
      <c r="AO10" s="300"/>
      <c r="AP10" s="300"/>
      <c r="AQ10" s="300"/>
      <c r="AR10" s="300"/>
      <c r="AS10" s="300"/>
      <c r="AT10" s="201"/>
    </row>
    <row r="11" spans="1:46" ht="15.75">
      <c r="A11" s="305">
        <v>0.7</v>
      </c>
      <c r="B11" s="305"/>
      <c r="C11" s="299" t="s">
        <v>0</v>
      </c>
      <c r="D11" s="162">
        <f>'no mortgage'!C11+'additional costs mortgage'!C11*'partial 70% mortgage'!A11</f>
        <v>1651</v>
      </c>
      <c r="E11" s="162">
        <f>'no mortgage'!D11+'additional costs mortgage'!D11*'partial 70% mortgage'!A11</f>
        <v>618</v>
      </c>
      <c r="F11" s="162">
        <f>'no mortgage'!E11+'additional costs mortgage'!E11*'partial 70% mortgage'!A11</f>
        <v>1060</v>
      </c>
      <c r="G11" s="162">
        <f>'no mortgage'!F11+'additional costs mortgage'!F11*'partial 70% mortgage'!A11</f>
        <v>90</v>
      </c>
      <c r="H11" s="162">
        <f>'no mortgage'!G11+'additional costs mortgage'!G11*'partial 70% mortgage'!A11</f>
        <v>0</v>
      </c>
      <c r="I11" s="198">
        <f t="shared" si="3"/>
        <v>3419</v>
      </c>
      <c r="J11" s="162">
        <f t="shared" si="4"/>
        <v>3419</v>
      </c>
      <c r="K11" s="162">
        <f t="shared" si="5"/>
        <v>3329</v>
      </c>
      <c r="L11" s="202">
        <v>0.175</v>
      </c>
      <c r="M11" s="203"/>
      <c r="N11" s="307">
        <f t="shared" si="6"/>
        <v>0.03419</v>
      </c>
      <c r="O11" s="308">
        <f t="shared" si="7"/>
        <v>0</v>
      </c>
      <c r="P11" s="308">
        <f t="shared" si="8"/>
        <v>0.0009</v>
      </c>
      <c r="Q11" s="309">
        <f t="shared" si="9"/>
        <v>0.03329</v>
      </c>
      <c r="R11" s="310">
        <f t="shared" si="10"/>
        <v>0</v>
      </c>
      <c r="S11" s="311">
        <f t="shared" si="11"/>
        <v>0.026323486399532026</v>
      </c>
      <c r="T11" s="312">
        <f t="shared" si="12"/>
        <v>0.9736765136004679</v>
      </c>
      <c r="U11" s="310">
        <f t="shared" si="13"/>
        <v>0.4959447281465906</v>
      </c>
      <c r="V11" s="311">
        <f>E11/K11</f>
        <v>0.185641333733854</v>
      </c>
      <c r="W11" s="312">
        <f t="shared" si="14"/>
        <v>0.31841393811955543</v>
      </c>
      <c r="X11" s="310">
        <f t="shared" si="15"/>
        <v>0.01651</v>
      </c>
      <c r="Y11" s="311">
        <f>E11/100000</f>
        <v>0.00618</v>
      </c>
      <c r="Z11" s="312">
        <f t="shared" si="16"/>
        <v>0.0106</v>
      </c>
      <c r="AA11" s="311"/>
      <c r="AC11" s="196" t="s">
        <v>13</v>
      </c>
      <c r="AD11" s="162">
        <v>100000</v>
      </c>
      <c r="AE11" s="162">
        <f aca="true" t="shared" si="22" ref="AE11:AJ11">D8</f>
        <v>3000</v>
      </c>
      <c r="AF11" s="197" t="str">
        <f t="shared" si="22"/>
        <v>n.r.</v>
      </c>
      <c r="AG11" s="162">
        <f t="shared" si="22"/>
        <v>1986.728</v>
      </c>
      <c r="AH11" s="162">
        <f t="shared" si="22"/>
        <v>505</v>
      </c>
      <c r="AI11" s="162">
        <f t="shared" si="22"/>
        <v>12270</v>
      </c>
      <c r="AJ11" s="198">
        <f t="shared" si="22"/>
        <v>17761.728</v>
      </c>
      <c r="AK11" s="162"/>
      <c r="AM11" s="173" t="s">
        <v>48</v>
      </c>
      <c r="AN11" s="162">
        <v>100000</v>
      </c>
      <c r="AO11" s="162">
        <f aca="true" t="shared" si="23" ref="AO11:AT11">D9</f>
        <v>5000</v>
      </c>
      <c r="AP11" s="162">
        <f t="shared" si="23"/>
        <v>350</v>
      </c>
      <c r="AQ11" s="162">
        <f t="shared" si="23"/>
        <v>850</v>
      </c>
      <c r="AR11" s="162">
        <f t="shared" si="23"/>
        <v>17</v>
      </c>
      <c r="AS11" s="162">
        <f t="shared" si="23"/>
        <v>0</v>
      </c>
      <c r="AT11" s="194">
        <f t="shared" si="23"/>
        <v>6217</v>
      </c>
    </row>
    <row r="12" spans="1:46" ht="15.75">
      <c r="A12" s="305">
        <v>0.7</v>
      </c>
      <c r="B12" s="305"/>
      <c r="C12" s="299" t="s">
        <v>1</v>
      </c>
      <c r="D12" s="162">
        <f>'no mortgage'!C12+'additional costs mortgage'!C12*'partial 70% mortgage'!A12</f>
        <v>3125</v>
      </c>
      <c r="E12" s="162">
        <f>'no mortgage'!D12+'additional costs mortgage'!D12*'partial 70% mortgage'!A12</f>
        <v>600</v>
      </c>
      <c r="F12" s="162">
        <v>430</v>
      </c>
      <c r="G12" s="162">
        <f>'no mortgage'!F12+'additional costs mortgage'!F12*'partial 70% mortgage'!A12</f>
        <v>95.8</v>
      </c>
      <c r="H12" s="162">
        <f>'no mortgage'!G12+'additional costs mortgage'!G12*'partial 70% mortgage'!A12</f>
        <v>4000</v>
      </c>
      <c r="I12" s="198">
        <f t="shared" si="3"/>
        <v>8250.8</v>
      </c>
      <c r="J12" s="162">
        <f t="shared" si="4"/>
        <v>4250.8</v>
      </c>
      <c r="K12" s="162">
        <f t="shared" si="5"/>
        <v>4155</v>
      </c>
      <c r="L12" s="202">
        <v>0.28</v>
      </c>
      <c r="M12" s="203"/>
      <c r="N12" s="307">
        <f t="shared" si="6"/>
        <v>0.082508</v>
      </c>
      <c r="O12" s="308">
        <f t="shared" si="7"/>
        <v>0.04</v>
      </c>
      <c r="P12" s="308">
        <f t="shared" si="8"/>
        <v>0.000958</v>
      </c>
      <c r="Q12" s="309">
        <f t="shared" si="9"/>
        <v>0.04155</v>
      </c>
      <c r="R12" s="310">
        <f t="shared" si="10"/>
        <v>0.48480147379648036</v>
      </c>
      <c r="S12" s="311">
        <f t="shared" si="11"/>
        <v>0.011610995297425705</v>
      </c>
      <c r="T12" s="312">
        <f t="shared" si="12"/>
        <v>0.503587530906094</v>
      </c>
      <c r="U12" s="310">
        <f t="shared" si="13"/>
        <v>0.7521058965102286</v>
      </c>
      <c r="V12" s="311">
        <f>E12/K12</f>
        <v>0.1444043321299639</v>
      </c>
      <c r="W12" s="312">
        <f t="shared" si="14"/>
        <v>0.10348977135980746</v>
      </c>
      <c r="X12" s="209">
        <f t="shared" si="15"/>
        <v>0.03125</v>
      </c>
      <c r="Y12" s="311">
        <f>E12/100000</f>
        <v>0.006</v>
      </c>
      <c r="Z12" s="210">
        <f t="shared" si="16"/>
        <v>0.0043</v>
      </c>
      <c r="AA12" s="211"/>
      <c r="AC12" s="173" t="s">
        <v>13</v>
      </c>
      <c r="AD12" s="162">
        <v>250000</v>
      </c>
      <c r="AE12" s="162">
        <f aca="true" t="shared" si="24" ref="AE12:AJ12">D35</f>
        <v>7500</v>
      </c>
      <c r="AF12" s="197" t="str">
        <f t="shared" si="24"/>
        <v>n.r.</v>
      </c>
      <c r="AG12" s="162">
        <f t="shared" si="24"/>
        <v>3080.828</v>
      </c>
      <c r="AH12" s="162">
        <f t="shared" si="24"/>
        <v>1140</v>
      </c>
      <c r="AI12" s="162">
        <f t="shared" si="24"/>
        <v>30675</v>
      </c>
      <c r="AJ12" s="198">
        <f t="shared" si="24"/>
        <v>42395.828</v>
      </c>
      <c r="AK12" s="162"/>
      <c r="AM12" s="173" t="s">
        <v>48</v>
      </c>
      <c r="AN12" s="162">
        <v>250000</v>
      </c>
      <c r="AO12" s="162">
        <f aca="true" t="shared" si="25" ref="AO12:AT12">D36</f>
        <v>10000</v>
      </c>
      <c r="AP12" s="162">
        <f t="shared" si="25"/>
        <v>350</v>
      </c>
      <c r="AQ12" s="162">
        <f t="shared" si="25"/>
        <v>850</v>
      </c>
      <c r="AR12" s="162">
        <f t="shared" si="25"/>
        <v>17</v>
      </c>
      <c r="AS12" s="162">
        <f t="shared" si="25"/>
        <v>0</v>
      </c>
      <c r="AT12" s="194">
        <f t="shared" si="25"/>
        <v>11217</v>
      </c>
    </row>
    <row r="13" spans="1:46" ht="15.75">
      <c r="A13" s="305">
        <v>0.7</v>
      </c>
      <c r="B13" s="305"/>
      <c r="C13" s="299" t="s">
        <v>2</v>
      </c>
      <c r="D13" s="162">
        <f>'no mortgage'!C13+'additional costs mortgage'!C13*'partial 70% mortgage'!A13</f>
        <v>8000</v>
      </c>
      <c r="E13" s="162">
        <f>'no mortgage'!D13+'additional costs mortgage'!D13*'partial 70% mortgage'!A13</f>
        <v>500</v>
      </c>
      <c r="F13" s="162">
        <f>'no mortgage'!E13+'additional costs mortgage'!E13*'partial 70% mortgage'!A13</f>
        <v>1422.731</v>
      </c>
      <c r="G13" s="162">
        <f>'no mortgage'!F13+'additional costs mortgage'!F13*'partial 70% mortgage'!A13</f>
        <v>135</v>
      </c>
      <c r="H13" s="162">
        <f>'no mortgage'!G13+'additional costs mortgage'!G13*'partial 70% mortgage'!A13</f>
        <v>5060</v>
      </c>
      <c r="I13" s="198">
        <f t="shared" si="3"/>
        <v>15117.731</v>
      </c>
      <c r="J13" s="162">
        <f t="shared" si="4"/>
        <v>10057.731</v>
      </c>
      <c r="K13" s="162">
        <f t="shared" si="5"/>
        <v>9922.731</v>
      </c>
      <c r="L13" s="202">
        <v>0.196</v>
      </c>
      <c r="M13" s="203"/>
      <c r="N13" s="307">
        <f t="shared" si="6"/>
        <v>0.15117731</v>
      </c>
      <c r="O13" s="308">
        <f t="shared" si="7"/>
        <v>0.0506</v>
      </c>
      <c r="P13" s="308">
        <f t="shared" si="8"/>
        <v>0.00135</v>
      </c>
      <c r="Q13" s="309">
        <f t="shared" si="9"/>
        <v>0.09922731</v>
      </c>
      <c r="R13" s="310">
        <f t="shared" si="10"/>
        <v>0.3347063127396565</v>
      </c>
      <c r="S13" s="311">
        <f t="shared" si="11"/>
        <v>0.008929911505899927</v>
      </c>
      <c r="T13" s="312">
        <f t="shared" si="12"/>
        <v>0.6563637757544436</v>
      </c>
      <c r="U13" s="310">
        <f t="shared" si="13"/>
        <v>0.8062296559283931</v>
      </c>
      <c r="V13" s="311">
        <f>E13/K13</f>
        <v>0.05038935349552457</v>
      </c>
      <c r="W13" s="312">
        <f t="shared" si="14"/>
        <v>0.14338099057608233</v>
      </c>
      <c r="X13" s="310">
        <f t="shared" si="15"/>
        <v>0.08</v>
      </c>
      <c r="Y13" s="311">
        <f>E13/100000</f>
        <v>0.005</v>
      </c>
      <c r="Z13" s="312">
        <f t="shared" si="16"/>
        <v>0.01422731</v>
      </c>
      <c r="AA13" s="311"/>
      <c r="AC13" s="173" t="s">
        <v>13</v>
      </c>
      <c r="AD13" s="162">
        <v>500000</v>
      </c>
      <c r="AE13" s="162">
        <f aca="true" t="shared" si="26" ref="AE13:AJ13">D69</f>
        <v>15000</v>
      </c>
      <c r="AF13" s="197" t="str">
        <f t="shared" si="26"/>
        <v>n.r.</v>
      </c>
      <c r="AG13" s="162">
        <f t="shared" si="26"/>
        <v>3304.04</v>
      </c>
      <c r="AH13" s="162">
        <f t="shared" si="26"/>
        <v>2000</v>
      </c>
      <c r="AI13" s="162">
        <f t="shared" si="26"/>
        <v>61350</v>
      </c>
      <c r="AJ13" s="198">
        <f t="shared" si="26"/>
        <v>81654.04000000001</v>
      </c>
      <c r="AK13" s="162"/>
      <c r="AM13" s="299"/>
      <c r="AN13" s="300"/>
      <c r="AO13" s="300"/>
      <c r="AP13" s="300"/>
      <c r="AQ13" s="300"/>
      <c r="AR13" s="300"/>
      <c r="AS13" s="300"/>
      <c r="AT13" s="201"/>
    </row>
    <row r="14" spans="1:46" ht="15.75">
      <c r="A14" s="305">
        <v>0.7</v>
      </c>
      <c r="B14" s="305"/>
      <c r="C14" s="299" t="s">
        <v>3</v>
      </c>
      <c r="D14" s="162">
        <f>'no mortgage'!C14+'additional costs mortgage'!C14*'partial 70% mortgage'!A14</f>
        <v>4000</v>
      </c>
      <c r="E14" s="197" t="s">
        <v>43</v>
      </c>
      <c r="F14" s="162">
        <f>'no mortgage'!E14+'additional costs mortgage'!E14*'partial 70% mortgage'!A14</f>
        <v>737.6</v>
      </c>
      <c r="G14" s="162">
        <f>'no mortgage'!F14+'additional costs mortgage'!F14*'partial 70% mortgage'!A14</f>
        <v>454.9</v>
      </c>
      <c r="H14" s="162">
        <f>'no mortgage'!G14+'additional costs mortgage'!G14*'partial 70% mortgage'!A14</f>
        <v>3500.0000000000005</v>
      </c>
      <c r="I14" s="198">
        <f t="shared" si="3"/>
        <v>8692.5</v>
      </c>
      <c r="J14" s="162">
        <f t="shared" si="4"/>
        <v>5192.5</v>
      </c>
      <c r="K14" s="162">
        <f t="shared" si="5"/>
        <v>4737.6</v>
      </c>
      <c r="L14" s="202">
        <v>0.16</v>
      </c>
      <c r="M14" s="203"/>
      <c r="N14" s="307">
        <f t="shared" si="6"/>
        <v>0.086925</v>
      </c>
      <c r="O14" s="308">
        <f t="shared" si="7"/>
        <v>0.035</v>
      </c>
      <c r="P14" s="308">
        <f t="shared" si="8"/>
        <v>0.004549</v>
      </c>
      <c r="Q14" s="309">
        <f t="shared" si="9"/>
        <v>0.047376</v>
      </c>
      <c r="R14" s="310">
        <f t="shared" si="10"/>
        <v>0.40264595916019563</v>
      </c>
      <c r="S14" s="311">
        <f t="shared" si="11"/>
        <v>0.0523324705205637</v>
      </c>
      <c r="T14" s="312">
        <f t="shared" si="12"/>
        <v>0.5450215703192408</v>
      </c>
      <c r="U14" s="310">
        <f t="shared" si="13"/>
        <v>0.8443093549476528</v>
      </c>
      <c r="V14" s="311"/>
      <c r="W14" s="312">
        <f t="shared" si="14"/>
        <v>0.15569064505234717</v>
      </c>
      <c r="X14" s="310">
        <f t="shared" si="15"/>
        <v>0.04</v>
      </c>
      <c r="Y14" s="311"/>
      <c r="Z14" s="312">
        <f t="shared" si="16"/>
        <v>0.007376000000000001</v>
      </c>
      <c r="AA14" s="311"/>
      <c r="AC14" s="181" t="s">
        <v>13</v>
      </c>
      <c r="AD14" s="182" t="s">
        <v>58</v>
      </c>
      <c r="AE14" s="206">
        <f aca="true" t="shared" si="27" ref="AE14:AJ14">D98</f>
        <v>5010</v>
      </c>
      <c r="AF14" s="207" t="str">
        <f t="shared" si="27"/>
        <v>n.r.</v>
      </c>
      <c r="AG14" s="206">
        <f t="shared" si="27"/>
        <v>2475.426</v>
      </c>
      <c r="AH14" s="206">
        <f t="shared" si="27"/>
        <v>788.6333333333333</v>
      </c>
      <c r="AI14" s="206">
        <f t="shared" si="27"/>
        <v>21042</v>
      </c>
      <c r="AJ14" s="208">
        <f t="shared" si="27"/>
        <v>29316.05933333333</v>
      </c>
      <c r="AK14" s="162"/>
      <c r="AM14" s="299" t="s">
        <v>14</v>
      </c>
      <c r="AN14" s="162">
        <v>100000</v>
      </c>
      <c r="AO14" s="162">
        <f aca="true" t="shared" si="28" ref="AO14:AT14">D10</f>
        <v>4147</v>
      </c>
      <c r="AP14" s="162">
        <f t="shared" si="28"/>
        <v>1020</v>
      </c>
      <c r="AQ14" s="162">
        <f t="shared" si="28"/>
        <v>1013</v>
      </c>
      <c r="AR14" s="162">
        <f t="shared" si="28"/>
        <v>1967.8999999999999</v>
      </c>
      <c r="AS14" s="162">
        <f t="shared" si="28"/>
        <v>0</v>
      </c>
      <c r="AT14" s="194">
        <f t="shared" si="28"/>
        <v>8147.9</v>
      </c>
    </row>
    <row r="15" spans="1:46" ht="15.75">
      <c r="A15" s="305">
        <v>0.7</v>
      </c>
      <c r="B15" s="305"/>
      <c r="C15" s="299" t="s">
        <v>15</v>
      </c>
      <c r="D15" s="162">
        <f>'no mortgage'!C15+'additional costs mortgage'!C15*'partial 70% mortgage'!A15</f>
        <v>4000</v>
      </c>
      <c r="E15" s="162">
        <f>'no mortgage'!D15+'additional costs mortgage'!D15*'partial 70% mortgage'!A15</f>
        <v>500</v>
      </c>
      <c r="F15" s="162">
        <f>'no mortgage'!E15+'additional costs mortgage'!E15*'partial 70% mortgage'!A15</f>
        <v>3190</v>
      </c>
      <c r="G15" s="162">
        <f>'no mortgage'!F15+'additional costs mortgage'!F15*'partial 70% mortgage'!A15</f>
        <v>1043</v>
      </c>
      <c r="H15" s="162">
        <f>'no mortgage'!G15+'additional costs mortgage'!G15*'partial 70% mortgage'!A15</f>
        <v>11020</v>
      </c>
      <c r="I15" s="198">
        <f t="shared" si="3"/>
        <v>19753</v>
      </c>
      <c r="J15" s="162">
        <f t="shared" si="4"/>
        <v>8733</v>
      </c>
      <c r="K15" s="162">
        <f t="shared" si="5"/>
        <v>7690</v>
      </c>
      <c r="L15" s="202">
        <v>0.19</v>
      </c>
      <c r="M15" s="203"/>
      <c r="N15" s="307">
        <f t="shared" si="6"/>
        <v>0.19753</v>
      </c>
      <c r="O15" s="308">
        <f t="shared" si="7"/>
        <v>0.1102</v>
      </c>
      <c r="P15" s="308">
        <f t="shared" si="8"/>
        <v>0.01043</v>
      </c>
      <c r="Q15" s="309">
        <f t="shared" si="9"/>
        <v>0.0769</v>
      </c>
      <c r="R15" s="310">
        <f t="shared" si="10"/>
        <v>0.5578899407684909</v>
      </c>
      <c r="S15" s="311">
        <f t="shared" si="11"/>
        <v>0.05280210600921379</v>
      </c>
      <c r="T15" s="312">
        <f t="shared" si="12"/>
        <v>0.38930795322229533</v>
      </c>
      <c r="U15" s="310">
        <f t="shared" si="13"/>
        <v>0.5201560468140443</v>
      </c>
      <c r="V15" s="311">
        <f>E15/K15</f>
        <v>0.06501950585175553</v>
      </c>
      <c r="W15" s="312">
        <f t="shared" si="14"/>
        <v>0.41482444733420026</v>
      </c>
      <c r="X15" s="310">
        <f t="shared" si="15"/>
        <v>0.04</v>
      </c>
      <c r="Y15" s="311">
        <f>E15/100000</f>
        <v>0.005</v>
      </c>
      <c r="Z15" s="312">
        <f t="shared" si="16"/>
        <v>0.0319</v>
      </c>
      <c r="AA15" s="311"/>
      <c r="AC15" s="299"/>
      <c r="AD15" s="300"/>
      <c r="AE15" s="300"/>
      <c r="AF15" s="300"/>
      <c r="AG15" s="300"/>
      <c r="AH15" s="300"/>
      <c r="AI15" s="300"/>
      <c r="AJ15" s="314"/>
      <c r="AK15" s="162"/>
      <c r="AM15" s="299" t="s">
        <v>14</v>
      </c>
      <c r="AN15" s="162">
        <v>250000</v>
      </c>
      <c r="AO15" s="162">
        <f aca="true" t="shared" si="29" ref="AO15:AT15">D37</f>
        <v>7747</v>
      </c>
      <c r="AP15" s="162">
        <f t="shared" si="29"/>
        <v>1020</v>
      </c>
      <c r="AQ15" s="162">
        <f t="shared" si="29"/>
        <v>1013</v>
      </c>
      <c r="AR15" s="162">
        <f t="shared" si="29"/>
        <v>4442.9</v>
      </c>
      <c r="AS15" s="162">
        <f t="shared" si="29"/>
        <v>0</v>
      </c>
      <c r="AT15" s="194">
        <f t="shared" si="29"/>
        <v>14222.9</v>
      </c>
    </row>
    <row r="16" spans="1:46" ht="15.75">
      <c r="A16" s="305">
        <v>0.7</v>
      </c>
      <c r="B16" s="305"/>
      <c r="C16" s="299" t="s">
        <v>19</v>
      </c>
      <c r="D16" s="162">
        <f>'no mortgage'!C16+'additional costs mortgage'!C16*'partial 70% mortgage'!A16</f>
        <v>4000</v>
      </c>
      <c r="E16" s="197" t="s">
        <v>43</v>
      </c>
      <c r="F16" s="162">
        <f>'no mortgage'!E16+'additional costs mortgage'!E16*'partial 70% mortgage'!A16</f>
        <v>1728</v>
      </c>
      <c r="G16" s="162">
        <f>'no mortgage'!F16+'additional costs mortgage'!F16*'partial 70% mortgage'!A16</f>
        <v>48.8</v>
      </c>
      <c r="H16" s="162">
        <f>'no mortgage'!G16+'additional costs mortgage'!G16*'partial 70% mortgage'!A16</f>
        <v>5420</v>
      </c>
      <c r="I16" s="198">
        <f t="shared" si="3"/>
        <v>11196.8</v>
      </c>
      <c r="J16" s="162">
        <f t="shared" si="4"/>
        <v>5776.8</v>
      </c>
      <c r="K16" s="162">
        <f t="shared" si="5"/>
        <v>5728</v>
      </c>
      <c r="L16" s="202">
        <v>0.2</v>
      </c>
      <c r="M16" s="203"/>
      <c r="N16" s="307">
        <f t="shared" si="6"/>
        <v>0.111968</v>
      </c>
      <c r="O16" s="308">
        <f t="shared" si="7"/>
        <v>0.0542</v>
      </c>
      <c r="P16" s="308">
        <f t="shared" si="8"/>
        <v>0.000488</v>
      </c>
      <c r="Q16" s="309">
        <f t="shared" si="9"/>
        <v>0.05728</v>
      </c>
      <c r="R16" s="310">
        <f t="shared" si="10"/>
        <v>0.48406687625035727</v>
      </c>
      <c r="S16" s="311">
        <f t="shared" si="11"/>
        <v>0.004358388110888825</v>
      </c>
      <c r="T16" s="312">
        <f t="shared" si="12"/>
        <v>0.511574735638754</v>
      </c>
      <c r="U16" s="310">
        <f t="shared" si="13"/>
        <v>0.6983240223463687</v>
      </c>
      <c r="V16" s="311"/>
      <c r="W16" s="312">
        <f t="shared" si="14"/>
        <v>0.3016759776536313</v>
      </c>
      <c r="X16" s="310">
        <f t="shared" si="15"/>
        <v>0.04</v>
      </c>
      <c r="Y16" s="311"/>
      <c r="Z16" s="312">
        <f t="shared" si="16"/>
        <v>0.01728</v>
      </c>
      <c r="AA16" s="311"/>
      <c r="AC16" s="196" t="s">
        <v>48</v>
      </c>
      <c r="AD16" s="162">
        <v>100000</v>
      </c>
      <c r="AE16" s="162">
        <f aca="true" t="shared" si="30" ref="AE16:AJ16">D9</f>
        <v>5000</v>
      </c>
      <c r="AF16" s="162">
        <f t="shared" si="30"/>
        <v>350</v>
      </c>
      <c r="AG16" s="162">
        <f t="shared" si="30"/>
        <v>850</v>
      </c>
      <c r="AH16" s="162">
        <f t="shared" si="30"/>
        <v>17</v>
      </c>
      <c r="AI16" s="162">
        <f t="shared" si="30"/>
        <v>0</v>
      </c>
      <c r="AJ16" s="198">
        <f t="shared" si="30"/>
        <v>6217</v>
      </c>
      <c r="AK16" s="162"/>
      <c r="AM16" s="299"/>
      <c r="AN16" s="300"/>
      <c r="AO16" s="300"/>
      <c r="AP16" s="300"/>
      <c r="AQ16" s="300"/>
      <c r="AR16" s="300"/>
      <c r="AS16" s="300"/>
      <c r="AT16" s="201"/>
    </row>
    <row r="17" spans="1:46" ht="15.75">
      <c r="A17" s="305">
        <v>0.7</v>
      </c>
      <c r="B17" s="305"/>
      <c r="C17" s="299" t="s">
        <v>4</v>
      </c>
      <c r="D17" s="162">
        <f>'no mortgage'!C17+'additional costs mortgage'!C17*'partial 70% mortgage'!A17</f>
        <v>2000</v>
      </c>
      <c r="E17" s="162">
        <f>'no mortgage'!D17+'additional costs mortgage'!D17*'partial 70% mortgage'!A17</f>
        <v>500</v>
      </c>
      <c r="F17" s="162">
        <f>'no mortgage'!E17+'additional costs mortgage'!E17*'partial 70% mortgage'!A17</f>
        <v>1000</v>
      </c>
      <c r="G17" s="162">
        <f>'no mortgage'!F17+'additional costs mortgage'!F17*'partial 70% mortgage'!A17</f>
        <v>375</v>
      </c>
      <c r="H17" s="162">
        <f>'no mortgage'!G17+'additional costs mortgage'!G17*'partial 70% mortgage'!A17</f>
        <v>0</v>
      </c>
      <c r="I17" s="198">
        <f t="shared" si="3"/>
        <v>3875</v>
      </c>
      <c r="J17" s="162">
        <f t="shared" si="4"/>
        <v>3875</v>
      </c>
      <c r="K17" s="162">
        <f t="shared" si="5"/>
        <v>3500</v>
      </c>
      <c r="L17" s="202">
        <v>0.21</v>
      </c>
      <c r="M17" s="203"/>
      <c r="N17" s="307">
        <f t="shared" si="6"/>
        <v>0.03875</v>
      </c>
      <c r="O17" s="308">
        <f t="shared" si="7"/>
        <v>0</v>
      </c>
      <c r="P17" s="308">
        <f t="shared" si="8"/>
        <v>0.00375</v>
      </c>
      <c r="Q17" s="309">
        <f t="shared" si="9"/>
        <v>0.035</v>
      </c>
      <c r="R17" s="310">
        <f t="shared" si="10"/>
        <v>0</v>
      </c>
      <c r="S17" s="311">
        <f t="shared" si="11"/>
        <v>0.0967741935483871</v>
      </c>
      <c r="T17" s="312">
        <f t="shared" si="12"/>
        <v>0.9032258064516129</v>
      </c>
      <c r="U17" s="310">
        <f t="shared" si="13"/>
        <v>0.5714285714285714</v>
      </c>
      <c r="V17" s="311">
        <f>E17/K17</f>
        <v>0.14285714285714285</v>
      </c>
      <c r="W17" s="312">
        <f t="shared" si="14"/>
        <v>0.2857142857142857</v>
      </c>
      <c r="X17" s="310">
        <f t="shared" si="15"/>
        <v>0.02</v>
      </c>
      <c r="Y17" s="311">
        <f>E17/100000</f>
        <v>0.005</v>
      </c>
      <c r="Z17" s="312">
        <f t="shared" si="16"/>
        <v>0.01</v>
      </c>
      <c r="AA17" s="311"/>
      <c r="AC17" s="173" t="s">
        <v>48</v>
      </c>
      <c r="AD17" s="162">
        <v>250000</v>
      </c>
      <c r="AE17" s="162">
        <f aca="true" t="shared" si="31" ref="AE17:AJ17">D36</f>
        <v>10000</v>
      </c>
      <c r="AF17" s="162">
        <f t="shared" si="31"/>
        <v>350</v>
      </c>
      <c r="AG17" s="162">
        <f t="shared" si="31"/>
        <v>850</v>
      </c>
      <c r="AH17" s="162">
        <f t="shared" si="31"/>
        <v>17</v>
      </c>
      <c r="AI17" s="162">
        <f t="shared" si="31"/>
        <v>0</v>
      </c>
      <c r="AJ17" s="198">
        <f t="shared" si="31"/>
        <v>11217</v>
      </c>
      <c r="AK17" s="162"/>
      <c r="AM17" s="299" t="s">
        <v>0</v>
      </c>
      <c r="AN17" s="162">
        <v>100000</v>
      </c>
      <c r="AO17" s="162">
        <f aca="true" t="shared" si="32" ref="AO17:AT17">D11</f>
        <v>1651</v>
      </c>
      <c r="AP17" s="162">
        <f t="shared" si="32"/>
        <v>618</v>
      </c>
      <c r="AQ17" s="162">
        <f t="shared" si="32"/>
        <v>1060</v>
      </c>
      <c r="AR17" s="162">
        <f t="shared" si="32"/>
        <v>90</v>
      </c>
      <c r="AS17" s="162">
        <f t="shared" si="32"/>
        <v>0</v>
      </c>
      <c r="AT17" s="194">
        <f t="shared" si="32"/>
        <v>3419</v>
      </c>
    </row>
    <row r="18" spans="1:46" ht="15.75">
      <c r="A18" s="305">
        <v>0.7</v>
      </c>
      <c r="B18" s="305"/>
      <c r="C18" s="299" t="s">
        <v>5</v>
      </c>
      <c r="D18" s="162">
        <f>'no mortgage'!C18+'additional costs mortgage'!C18*'partial 70% mortgage'!A18</f>
        <v>6000</v>
      </c>
      <c r="E18" s="197" t="s">
        <v>43</v>
      </c>
      <c r="F18" s="162">
        <f>'no mortgage'!E18+'additional costs mortgage'!E18*'partial 70% mortgage'!A18</f>
        <v>2319</v>
      </c>
      <c r="G18" s="162">
        <f>'no mortgage'!F18+'additional costs mortgage'!F18*'partial 70% mortgage'!A18</f>
        <v>139.297</v>
      </c>
      <c r="H18" s="162">
        <f>'no mortgage'!G18+'additional costs mortgage'!G18*'partial 70% mortgage'!A18</f>
        <v>2015.6</v>
      </c>
      <c r="I18" s="198">
        <f t="shared" si="3"/>
        <v>10473.897</v>
      </c>
      <c r="J18" s="162">
        <f t="shared" si="4"/>
        <v>8458.297</v>
      </c>
      <c r="K18" s="162">
        <f t="shared" si="5"/>
        <v>8319</v>
      </c>
      <c r="L18" s="202">
        <v>0.2</v>
      </c>
      <c r="M18" s="203"/>
      <c r="N18" s="307">
        <f t="shared" si="6"/>
        <v>0.10473897000000001</v>
      </c>
      <c r="O18" s="308">
        <f t="shared" si="7"/>
        <v>0.020156</v>
      </c>
      <c r="P18" s="308">
        <f t="shared" si="8"/>
        <v>0.0013929699999999999</v>
      </c>
      <c r="Q18" s="309">
        <f t="shared" si="9"/>
        <v>0.08319</v>
      </c>
      <c r="R18" s="310">
        <f t="shared" si="10"/>
        <v>0.19244031137598544</v>
      </c>
      <c r="S18" s="311">
        <f t="shared" si="11"/>
        <v>0.013299443368595279</v>
      </c>
      <c r="T18" s="312">
        <f t="shared" si="12"/>
        <v>0.7942602452554192</v>
      </c>
      <c r="U18" s="310">
        <f t="shared" si="13"/>
        <v>0.7212405337179949</v>
      </c>
      <c r="V18" s="311"/>
      <c r="W18" s="312">
        <f t="shared" si="14"/>
        <v>0.27875946628200504</v>
      </c>
      <c r="X18" s="310">
        <f t="shared" si="15"/>
        <v>0.06</v>
      </c>
      <c r="Y18" s="311"/>
      <c r="Z18" s="312">
        <f t="shared" si="16"/>
        <v>0.02319</v>
      </c>
      <c r="AA18" s="311"/>
      <c r="AC18" s="173" t="s">
        <v>48</v>
      </c>
      <c r="AD18" s="162">
        <v>500000</v>
      </c>
      <c r="AE18" s="162">
        <f aca="true" t="shared" si="33" ref="AE18:AJ18">D70</f>
        <v>15000</v>
      </c>
      <c r="AF18" s="162">
        <f t="shared" si="33"/>
        <v>500</v>
      </c>
      <c r="AG18" s="162">
        <f t="shared" si="33"/>
        <v>850</v>
      </c>
      <c r="AH18" s="162">
        <f t="shared" si="33"/>
        <v>17</v>
      </c>
      <c r="AI18" s="162">
        <f t="shared" si="33"/>
        <v>0</v>
      </c>
      <c r="AJ18" s="198">
        <f t="shared" si="33"/>
        <v>16367</v>
      </c>
      <c r="AK18" s="162"/>
      <c r="AM18" s="299" t="s">
        <v>0</v>
      </c>
      <c r="AN18" s="162">
        <v>250000</v>
      </c>
      <c r="AO18" s="162">
        <f aca="true" t="shared" si="34" ref="AO18:AT18">D38</f>
        <v>3579</v>
      </c>
      <c r="AP18" s="162">
        <f t="shared" si="34"/>
        <v>682.5</v>
      </c>
      <c r="AQ18" s="162">
        <f t="shared" si="34"/>
        <v>1345</v>
      </c>
      <c r="AR18" s="162">
        <f t="shared" si="34"/>
        <v>225</v>
      </c>
      <c r="AS18" s="162">
        <f t="shared" si="34"/>
        <v>2520</v>
      </c>
      <c r="AT18" s="194">
        <f t="shared" si="34"/>
        <v>8351.5</v>
      </c>
    </row>
    <row r="19" spans="1:46" ht="15.75">
      <c r="A19" s="305">
        <v>0.7</v>
      </c>
      <c r="B19" s="305"/>
      <c r="C19" s="299" t="s">
        <v>6</v>
      </c>
      <c r="D19" s="162">
        <f>'no mortgage'!C19+'additional costs mortgage'!C19*'partial 70% mortgage'!A19</f>
        <v>1850</v>
      </c>
      <c r="E19" s="197" t="s">
        <v>43</v>
      </c>
      <c r="F19" s="162">
        <f>'no mortgage'!E19+'additional costs mortgage'!E19*'partial 70% mortgage'!A19</f>
        <v>1055.8</v>
      </c>
      <c r="G19" s="162">
        <f>'no mortgage'!F19+'additional costs mortgage'!F19*'partial 70% mortgage'!A19</f>
        <v>164.1</v>
      </c>
      <c r="H19" s="162">
        <f>'no mortgage'!G19+'additional costs mortgage'!G19*'partial 70% mortgage'!A19</f>
        <v>6000</v>
      </c>
      <c r="I19" s="198">
        <f t="shared" si="3"/>
        <v>9069.9</v>
      </c>
      <c r="J19" s="162">
        <f t="shared" si="4"/>
        <v>3069.9</v>
      </c>
      <c r="K19" s="162">
        <f t="shared" si="5"/>
        <v>2905.8</v>
      </c>
      <c r="L19" s="202">
        <v>0.19</v>
      </c>
      <c r="M19" s="203"/>
      <c r="N19" s="307">
        <f t="shared" si="6"/>
        <v>0.090699</v>
      </c>
      <c r="O19" s="308">
        <f t="shared" si="7"/>
        <v>0.06</v>
      </c>
      <c r="P19" s="308">
        <f t="shared" si="8"/>
        <v>0.0016409999999999999</v>
      </c>
      <c r="Q19" s="309">
        <f t="shared" si="9"/>
        <v>0.029058</v>
      </c>
      <c r="R19" s="310">
        <f t="shared" si="10"/>
        <v>0.6615287930407171</v>
      </c>
      <c r="S19" s="311">
        <f t="shared" si="11"/>
        <v>0.01809281248966361</v>
      </c>
      <c r="T19" s="312">
        <f t="shared" si="12"/>
        <v>0.3203783944696193</v>
      </c>
      <c r="U19" s="310">
        <f t="shared" si="13"/>
        <v>0.6366577190446693</v>
      </c>
      <c r="V19" s="311"/>
      <c r="W19" s="312">
        <f t="shared" si="14"/>
        <v>0.36334228095533067</v>
      </c>
      <c r="X19" s="310">
        <f t="shared" si="15"/>
        <v>0.0185</v>
      </c>
      <c r="Y19" s="311"/>
      <c r="Z19" s="312">
        <f t="shared" si="16"/>
        <v>0.010558</v>
      </c>
      <c r="AA19" s="311"/>
      <c r="AC19" s="181" t="s">
        <v>48</v>
      </c>
      <c r="AD19" s="182" t="s">
        <v>58</v>
      </c>
      <c r="AE19" s="206">
        <f aca="true" t="shared" si="35" ref="AE19:AJ19">D99</f>
        <v>5000</v>
      </c>
      <c r="AF19" s="206">
        <f t="shared" si="35"/>
        <v>350</v>
      </c>
      <c r="AG19" s="206">
        <f t="shared" si="35"/>
        <v>850</v>
      </c>
      <c r="AH19" s="206">
        <f t="shared" si="35"/>
        <v>17</v>
      </c>
      <c r="AI19" s="206">
        <f t="shared" si="35"/>
        <v>0</v>
      </c>
      <c r="AJ19" s="208">
        <f t="shared" si="35"/>
        <v>6217</v>
      </c>
      <c r="AK19" s="162"/>
      <c r="AM19" s="299"/>
      <c r="AN19" s="300"/>
      <c r="AO19" s="300"/>
      <c r="AP19" s="300"/>
      <c r="AQ19" s="300"/>
      <c r="AR19" s="300"/>
      <c r="AS19" s="300"/>
      <c r="AT19" s="201"/>
    </row>
    <row r="20" spans="1:46" ht="15.75">
      <c r="A20" s="305">
        <v>0.7</v>
      </c>
      <c r="B20" s="305"/>
      <c r="C20" s="299" t="s">
        <v>7</v>
      </c>
      <c r="D20" s="162">
        <f>'no mortgage'!C20+'additional costs mortgage'!C20*'partial 70% mortgage'!A20</f>
        <v>2000</v>
      </c>
      <c r="E20" s="162">
        <f>'additional costs mortgage'!D20*'partial 70% mortgage'!A20</f>
        <v>175</v>
      </c>
      <c r="F20" s="162">
        <f>'no mortgage'!E20+'additional costs mortgage'!E20*'partial 70% mortgage'!A20</f>
        <v>677</v>
      </c>
      <c r="G20" s="162">
        <f>'no mortgage'!F20+'additional costs mortgage'!F20*'partial 70% mortgage'!A20</f>
        <v>50</v>
      </c>
      <c r="H20" s="162">
        <f>'no mortgage'!G20+'additional costs mortgage'!G20*'partial 70% mortgage'!A20</f>
        <v>11417.5</v>
      </c>
      <c r="I20" s="198">
        <f t="shared" si="3"/>
        <v>14319.5</v>
      </c>
      <c r="J20" s="162">
        <f t="shared" si="4"/>
        <v>2902</v>
      </c>
      <c r="K20" s="162">
        <f t="shared" si="5"/>
        <v>2852</v>
      </c>
      <c r="L20" s="202">
        <v>0.22</v>
      </c>
      <c r="M20" s="203"/>
      <c r="N20" s="307">
        <f t="shared" si="6"/>
        <v>0.143195</v>
      </c>
      <c r="O20" s="308">
        <f t="shared" si="7"/>
        <v>0.114175</v>
      </c>
      <c r="P20" s="308">
        <f t="shared" si="8"/>
        <v>0.0005</v>
      </c>
      <c r="Q20" s="309">
        <f t="shared" si="9"/>
        <v>0.02852</v>
      </c>
      <c r="R20" s="310">
        <f t="shared" si="10"/>
        <v>0.7973392925730647</v>
      </c>
      <c r="S20" s="311">
        <f t="shared" si="11"/>
        <v>0.003491742030098816</v>
      </c>
      <c r="T20" s="312">
        <f t="shared" si="12"/>
        <v>0.19916896539683648</v>
      </c>
      <c r="U20" s="310">
        <f t="shared" si="13"/>
        <v>0.7012622720897616</v>
      </c>
      <c r="V20" s="311">
        <f>E20/K20</f>
        <v>0.061360448807854136</v>
      </c>
      <c r="W20" s="312">
        <f t="shared" si="14"/>
        <v>0.2373772791023843</v>
      </c>
      <c r="X20" s="310">
        <f t="shared" si="15"/>
        <v>0.02</v>
      </c>
      <c r="Y20" s="311">
        <f>E20/100000</f>
        <v>0.00175</v>
      </c>
      <c r="Z20" s="312">
        <f t="shared" si="16"/>
        <v>0.00677</v>
      </c>
      <c r="AA20" s="311"/>
      <c r="AC20" s="173"/>
      <c r="AD20" s="161"/>
      <c r="AE20" s="162"/>
      <c r="AF20" s="162"/>
      <c r="AG20" s="162"/>
      <c r="AH20" s="162"/>
      <c r="AI20" s="162"/>
      <c r="AJ20" s="198"/>
      <c r="AK20" s="162"/>
      <c r="AM20" s="299" t="s">
        <v>1</v>
      </c>
      <c r="AN20" s="162">
        <v>100000</v>
      </c>
      <c r="AO20" s="162">
        <f aca="true" t="shared" si="36" ref="AO20:AT20">D12</f>
        <v>3125</v>
      </c>
      <c r="AP20" s="162">
        <f t="shared" si="36"/>
        <v>600</v>
      </c>
      <c r="AQ20" s="162">
        <f t="shared" si="36"/>
        <v>430</v>
      </c>
      <c r="AR20" s="162">
        <f t="shared" si="36"/>
        <v>95.8</v>
      </c>
      <c r="AS20" s="162">
        <f t="shared" si="36"/>
        <v>4000</v>
      </c>
      <c r="AT20" s="194">
        <f t="shared" si="36"/>
        <v>8250.8</v>
      </c>
    </row>
    <row r="21" spans="1:46" ht="15.75">
      <c r="A21" s="305">
        <v>0.7</v>
      </c>
      <c r="B21" s="305"/>
      <c r="C21" s="299" t="s">
        <v>189</v>
      </c>
      <c r="D21" s="162">
        <f>'no mortgage'!C21+'additional costs mortgage'!C21*'partial 70% mortgage'!A21</f>
        <v>3750</v>
      </c>
      <c r="E21" s="162">
        <f>'additional costs mortgage'!D21*'partial 70% mortgage'!A21</f>
        <v>192.5</v>
      </c>
      <c r="F21" s="162">
        <f>'no mortgage'!E21+'additional costs mortgage'!E21*'partial 70% mortgage'!A21</f>
        <v>510.4</v>
      </c>
      <c r="G21" s="162">
        <f>'no mortgage'!F21+'additional costs mortgage'!F21*'partial 70% mortgage'!A21</f>
        <v>219.5</v>
      </c>
      <c r="H21" s="162">
        <f>'no mortgage'!G21+'additional costs mortgage'!G21*'partial 70% mortgage'!A21</f>
        <v>1220</v>
      </c>
      <c r="I21" s="198">
        <f>SUM(D21:H21)</f>
        <v>5892.4</v>
      </c>
      <c r="J21" s="162">
        <f>SUM(D21:G21)</f>
        <v>4672.4</v>
      </c>
      <c r="K21" s="162">
        <f>SUM(D21:F21)</f>
        <v>4452.9</v>
      </c>
      <c r="L21" s="202">
        <v>0.21</v>
      </c>
      <c r="M21" s="203"/>
      <c r="N21" s="307">
        <f>I21/100000</f>
        <v>0.058924</v>
      </c>
      <c r="O21" s="308">
        <f>H21/100000</f>
        <v>0.0122</v>
      </c>
      <c r="P21" s="308">
        <f>G21/100000</f>
        <v>0.002195</v>
      </c>
      <c r="Q21" s="309">
        <f>K21/100000</f>
        <v>0.044529</v>
      </c>
      <c r="R21" s="310">
        <f>H21/I21</f>
        <v>0.2070463648089064</v>
      </c>
      <c r="S21" s="311">
        <f>G21/I21</f>
        <v>0.03725137465209422</v>
      </c>
      <c r="T21" s="312">
        <f>K21/I21</f>
        <v>0.7557022605389994</v>
      </c>
      <c r="U21" s="310">
        <f>D21/K21</f>
        <v>0.8421478137842755</v>
      </c>
      <c r="V21" s="311">
        <f>E21/K21</f>
        <v>0.04323025444092614</v>
      </c>
      <c r="W21" s="312">
        <f>F21/K21</f>
        <v>0.11462193177479844</v>
      </c>
      <c r="X21" s="310">
        <f>D21/100000</f>
        <v>0.0375</v>
      </c>
      <c r="Y21" s="311">
        <f>E21/100000</f>
        <v>0.001925</v>
      </c>
      <c r="Z21" s="312">
        <f>F21/100000</f>
        <v>0.005104</v>
      </c>
      <c r="AA21" s="311"/>
      <c r="AC21" s="196" t="s">
        <v>14</v>
      </c>
      <c r="AD21" s="162">
        <v>100000</v>
      </c>
      <c r="AE21" s="162">
        <f aca="true" t="shared" si="37" ref="AE21:AJ21">D10</f>
        <v>4147</v>
      </c>
      <c r="AF21" s="162">
        <f t="shared" si="37"/>
        <v>1020</v>
      </c>
      <c r="AG21" s="162">
        <f t="shared" si="37"/>
        <v>1013</v>
      </c>
      <c r="AH21" s="162">
        <f t="shared" si="37"/>
        <v>1967.8999999999999</v>
      </c>
      <c r="AI21" s="162">
        <f t="shared" si="37"/>
        <v>0</v>
      </c>
      <c r="AJ21" s="198">
        <f t="shared" si="37"/>
        <v>8147.9</v>
      </c>
      <c r="AK21" s="162"/>
      <c r="AM21" s="299" t="s">
        <v>1</v>
      </c>
      <c r="AN21" s="162">
        <v>250000</v>
      </c>
      <c r="AO21" s="162">
        <f aca="true" t="shared" si="38" ref="AO21:AT21">D39</f>
        <v>7812.5</v>
      </c>
      <c r="AP21" s="162">
        <f t="shared" si="38"/>
        <v>600</v>
      </c>
      <c r="AQ21" s="162">
        <f t="shared" si="38"/>
        <v>430</v>
      </c>
      <c r="AR21" s="162">
        <f t="shared" si="38"/>
        <v>95.8</v>
      </c>
      <c r="AS21" s="162">
        <f t="shared" si="38"/>
        <v>10000</v>
      </c>
      <c r="AT21" s="194">
        <f t="shared" si="38"/>
        <v>18938.3</v>
      </c>
    </row>
    <row r="22" spans="1:46" ht="15.75">
      <c r="A22" s="305">
        <v>0.7</v>
      </c>
      <c r="B22" s="305"/>
      <c r="C22" s="315" t="s">
        <v>8</v>
      </c>
      <c r="D22" s="162">
        <f>'no mortgage'!C22+'additional costs mortgage'!C22*'partial 70% mortgage'!A22</f>
        <v>1000</v>
      </c>
      <c r="E22" s="162">
        <f>'no mortgage'!D22+'additional costs mortgage'!D22*'partial 70% mortgage'!A22</f>
        <v>378</v>
      </c>
      <c r="F22" s="162">
        <f>'no mortgage'!E22+'additional costs mortgage'!E22*'partial 70% mortgage'!A22</f>
        <v>1437.9</v>
      </c>
      <c r="G22" s="162">
        <f>'no mortgage'!F22+'additional costs mortgage'!F22*'partial 70% mortgage'!A22</f>
        <v>251.1</v>
      </c>
      <c r="H22" s="162">
        <f>'no mortgage'!G22+'additional costs mortgage'!G22*'partial 70% mortgage'!A22</f>
        <v>0</v>
      </c>
      <c r="I22" s="198">
        <f t="shared" si="3"/>
        <v>3067</v>
      </c>
      <c r="J22" s="162">
        <f t="shared" si="4"/>
        <v>3067</v>
      </c>
      <c r="K22" s="162">
        <f t="shared" si="5"/>
        <v>2815.9</v>
      </c>
      <c r="L22" s="202">
        <v>0.175</v>
      </c>
      <c r="M22" s="203"/>
      <c r="N22" s="307">
        <f t="shared" si="6"/>
        <v>0.03067</v>
      </c>
      <c r="O22" s="308">
        <f t="shared" si="7"/>
        <v>0</v>
      </c>
      <c r="P22" s="308">
        <f t="shared" si="8"/>
        <v>0.0025109999999999998</v>
      </c>
      <c r="Q22" s="309">
        <f t="shared" si="9"/>
        <v>0.028159</v>
      </c>
      <c r="R22" s="310">
        <f t="shared" si="10"/>
        <v>0</v>
      </c>
      <c r="S22" s="311">
        <f t="shared" si="11"/>
        <v>0.08187153570264101</v>
      </c>
      <c r="T22" s="312">
        <f t="shared" si="12"/>
        <v>0.9181284642973591</v>
      </c>
      <c r="U22" s="310">
        <f t="shared" si="13"/>
        <v>0.3551262473809439</v>
      </c>
      <c r="V22" s="311">
        <f>E22/K22</f>
        <v>0.1342377215099968</v>
      </c>
      <c r="W22" s="312">
        <f t="shared" si="14"/>
        <v>0.5106360311090593</v>
      </c>
      <c r="X22" s="310">
        <f t="shared" si="15"/>
        <v>0.01</v>
      </c>
      <c r="Y22" s="311">
        <f>E22/100000</f>
        <v>0.00378</v>
      </c>
      <c r="Z22" s="312">
        <f t="shared" si="16"/>
        <v>0.014379000000000001</v>
      </c>
      <c r="AA22" s="311"/>
      <c r="AC22" s="299" t="s">
        <v>14</v>
      </c>
      <c r="AD22" s="162">
        <v>250000</v>
      </c>
      <c r="AE22" s="162">
        <f aca="true" t="shared" si="39" ref="AE22:AJ22">D37</f>
        <v>7747</v>
      </c>
      <c r="AF22" s="162">
        <f t="shared" si="39"/>
        <v>1020</v>
      </c>
      <c r="AG22" s="162">
        <f t="shared" si="39"/>
        <v>1013</v>
      </c>
      <c r="AH22" s="162">
        <f t="shared" si="39"/>
        <v>4442.9</v>
      </c>
      <c r="AI22" s="162">
        <f t="shared" si="39"/>
        <v>0</v>
      </c>
      <c r="AJ22" s="198">
        <f t="shared" si="39"/>
        <v>14222.9</v>
      </c>
      <c r="AK22" s="162"/>
      <c r="AM22" s="299"/>
      <c r="AN22" s="300"/>
      <c r="AO22" s="300"/>
      <c r="AP22" s="300"/>
      <c r="AQ22" s="300"/>
      <c r="AR22" s="300"/>
      <c r="AS22" s="300"/>
      <c r="AT22" s="201"/>
    </row>
    <row r="23" spans="1:46" ht="15.75">
      <c r="A23" s="305">
        <v>0.7</v>
      </c>
      <c r="B23" s="305"/>
      <c r="C23" s="315" t="s">
        <v>188</v>
      </c>
      <c r="D23" s="162">
        <f>'no mortgage'!C23+'additional costs mortgage'!C23*'partial 70% mortgage'!A23</f>
        <v>2150</v>
      </c>
      <c r="E23" s="162">
        <f>'no mortgage'!D23+'additional costs mortgage'!D23*'partial 70% mortgage'!A23</f>
        <v>130</v>
      </c>
      <c r="F23" s="162">
        <f>'no mortgage'!E23+'additional costs mortgage'!E23*'partial 70% mortgage'!A23</f>
        <v>420</v>
      </c>
      <c r="G23" s="162">
        <f>'no mortgage'!F23+'additional costs mortgage'!F23*'partial 70% mortgage'!A23</f>
        <v>60</v>
      </c>
      <c r="H23" s="162">
        <f>'no mortgage'!G23+'additional costs mortgage'!G23*'partial 70% mortgage'!A23</f>
        <v>0</v>
      </c>
      <c r="I23" s="198">
        <f>SUM(D23:H23)</f>
        <v>2760</v>
      </c>
      <c r="J23" s="162">
        <f>SUM(D23:G23)</f>
        <v>2760</v>
      </c>
      <c r="K23" s="162">
        <f>SUM(D23:F23)</f>
        <v>2700</v>
      </c>
      <c r="L23" s="202">
        <v>0.19</v>
      </c>
      <c r="M23" s="203"/>
      <c r="N23" s="307">
        <f>I23/100000</f>
        <v>0.0276</v>
      </c>
      <c r="O23" s="308">
        <f>H23/100000</f>
        <v>0</v>
      </c>
      <c r="P23" s="308">
        <f>G23/100000</f>
        <v>0.0006</v>
      </c>
      <c r="Q23" s="309">
        <f>K23/100000</f>
        <v>0.027</v>
      </c>
      <c r="R23" s="310">
        <f>H23/I23</f>
        <v>0</v>
      </c>
      <c r="S23" s="311">
        <f>G23/I23</f>
        <v>0.021739130434782608</v>
      </c>
      <c r="T23" s="312">
        <f>K23/I23</f>
        <v>0.9782608695652174</v>
      </c>
      <c r="U23" s="310">
        <f>D23/K23</f>
        <v>0.7962962962962963</v>
      </c>
      <c r="V23" s="311">
        <f>E23/K23</f>
        <v>0.04814814814814815</v>
      </c>
      <c r="W23" s="312">
        <f>F23/K23</f>
        <v>0.15555555555555556</v>
      </c>
      <c r="X23" s="310">
        <f>D23/100000</f>
        <v>0.0215</v>
      </c>
      <c r="Y23" s="311">
        <f>E23/100000</f>
        <v>0.0013</v>
      </c>
      <c r="Z23" s="312">
        <f>F23/100000</f>
        <v>0.0042</v>
      </c>
      <c r="AA23" s="311"/>
      <c r="AC23" s="299" t="s">
        <v>14</v>
      </c>
      <c r="AD23" s="162">
        <v>500000</v>
      </c>
      <c r="AE23" s="162">
        <f aca="true" t="shared" si="40" ref="AE23:AJ23">D71</f>
        <v>13747</v>
      </c>
      <c r="AF23" s="162">
        <f t="shared" si="40"/>
        <v>1020</v>
      </c>
      <c r="AG23" s="162">
        <f t="shared" si="40"/>
        <v>1013</v>
      </c>
      <c r="AH23" s="162">
        <f t="shared" si="40"/>
        <v>8567.9</v>
      </c>
      <c r="AI23" s="162">
        <f t="shared" si="40"/>
        <v>0</v>
      </c>
      <c r="AJ23" s="198">
        <f t="shared" si="40"/>
        <v>24347.9</v>
      </c>
      <c r="AK23" s="162"/>
      <c r="AM23" s="299" t="s">
        <v>2</v>
      </c>
      <c r="AN23" s="162">
        <v>100000</v>
      </c>
      <c r="AO23" s="162">
        <f aca="true" t="shared" si="41" ref="AO23:AT23">D13</f>
        <v>8000</v>
      </c>
      <c r="AP23" s="162">
        <f t="shared" si="41"/>
        <v>500</v>
      </c>
      <c r="AQ23" s="162">
        <f t="shared" si="41"/>
        <v>1422.731</v>
      </c>
      <c r="AR23" s="162">
        <f t="shared" si="41"/>
        <v>135</v>
      </c>
      <c r="AS23" s="162">
        <f t="shared" si="41"/>
        <v>5060</v>
      </c>
      <c r="AT23" s="194">
        <f t="shared" si="41"/>
        <v>15117.731</v>
      </c>
    </row>
    <row r="24" spans="1:46" ht="15.75">
      <c r="A24" s="305">
        <v>0.7</v>
      </c>
      <c r="B24" s="305"/>
      <c r="C24" s="299" t="s">
        <v>16</v>
      </c>
      <c r="D24" s="162">
        <f>'no mortgage'!C24+'additional costs mortgage'!C24*'partial 70% mortgage'!A24</f>
        <v>4000</v>
      </c>
      <c r="E24" s="197" t="s">
        <v>43</v>
      </c>
      <c r="F24" s="162">
        <f>'no mortgage'!E24+'additional costs mortgage'!E24*'partial 70% mortgage'!A24</f>
        <v>810</v>
      </c>
      <c r="G24" s="162">
        <f>'no mortgage'!F24+'additional costs mortgage'!F24*'partial 70% mortgage'!A24</f>
        <v>123</v>
      </c>
      <c r="H24" s="162">
        <f>'no mortgage'!G24+'additional costs mortgage'!G24*'partial 70% mortgage'!A24</f>
        <v>2000</v>
      </c>
      <c r="I24" s="198">
        <f t="shared" si="3"/>
        <v>6933</v>
      </c>
      <c r="J24" s="162">
        <f t="shared" si="4"/>
        <v>4933</v>
      </c>
      <c r="K24" s="162">
        <f t="shared" si="5"/>
        <v>4810</v>
      </c>
      <c r="L24" s="202">
        <v>0.19</v>
      </c>
      <c r="M24" s="203"/>
      <c r="N24" s="307">
        <f t="shared" si="6"/>
        <v>0.06933</v>
      </c>
      <c r="O24" s="308">
        <f t="shared" si="7"/>
        <v>0.02</v>
      </c>
      <c r="P24" s="308">
        <f t="shared" si="8"/>
        <v>0.00123</v>
      </c>
      <c r="Q24" s="309">
        <f t="shared" si="9"/>
        <v>0.0481</v>
      </c>
      <c r="R24" s="310">
        <f t="shared" si="10"/>
        <v>0.28847540747151307</v>
      </c>
      <c r="S24" s="311">
        <f t="shared" si="11"/>
        <v>0.017741237559498052</v>
      </c>
      <c r="T24" s="312">
        <f t="shared" si="12"/>
        <v>0.6937833549689889</v>
      </c>
      <c r="U24" s="310">
        <f t="shared" si="13"/>
        <v>0.8316008316008316</v>
      </c>
      <c r="V24" s="311"/>
      <c r="W24" s="312">
        <f t="shared" si="14"/>
        <v>0.1683991683991684</v>
      </c>
      <c r="X24" s="310">
        <f t="shared" si="15"/>
        <v>0.04</v>
      </c>
      <c r="Y24" s="311"/>
      <c r="Z24" s="312">
        <f t="shared" si="16"/>
        <v>0.0081</v>
      </c>
      <c r="AA24" s="311"/>
      <c r="AC24" s="316" t="s">
        <v>14</v>
      </c>
      <c r="AD24" s="182" t="s">
        <v>58</v>
      </c>
      <c r="AE24" s="206">
        <f aca="true" t="shared" si="42" ref="AE24:AJ24">D100</f>
        <v>7068.82</v>
      </c>
      <c r="AF24" s="206">
        <f t="shared" si="42"/>
        <v>1020</v>
      </c>
      <c r="AG24" s="206">
        <f t="shared" si="42"/>
        <v>1013</v>
      </c>
      <c r="AH24" s="206">
        <f t="shared" si="42"/>
        <v>3976.6512500000003</v>
      </c>
      <c r="AI24" s="206">
        <f t="shared" si="42"/>
        <v>0</v>
      </c>
      <c r="AJ24" s="208">
        <f t="shared" si="42"/>
        <v>13078.47125</v>
      </c>
      <c r="AK24" s="162"/>
      <c r="AM24" s="299" t="s">
        <v>2</v>
      </c>
      <c r="AN24" s="162">
        <v>250000</v>
      </c>
      <c r="AO24" s="162">
        <f aca="true" t="shared" si="43" ref="AO24:AT24">D40</f>
        <v>17500</v>
      </c>
      <c r="AP24" s="162">
        <f t="shared" si="43"/>
        <v>500</v>
      </c>
      <c r="AQ24" s="162">
        <f t="shared" si="43"/>
        <v>2948.9</v>
      </c>
      <c r="AR24" s="162">
        <f t="shared" si="43"/>
        <v>337.5</v>
      </c>
      <c r="AS24" s="162">
        <f t="shared" si="43"/>
        <v>12650</v>
      </c>
      <c r="AT24" s="194">
        <f t="shared" si="43"/>
        <v>33936.4</v>
      </c>
    </row>
    <row r="25" spans="1:46" ht="15.75">
      <c r="A25" s="305">
        <v>0.7</v>
      </c>
      <c r="B25" s="305"/>
      <c r="C25" s="299" t="s">
        <v>9</v>
      </c>
      <c r="D25" s="162">
        <f>'no mortgage'!C25+'additional costs mortgage'!C25*'partial 70% mortgage'!A25</f>
        <v>6000</v>
      </c>
      <c r="E25" s="162">
        <f>'additional costs mortgage'!D25*'partial 70% mortgage'!A25</f>
        <v>91</v>
      </c>
      <c r="F25" s="162">
        <f>'no mortgage'!E25+'additional costs mortgage'!E25*'partial 70% mortgage'!A25</f>
        <v>891.3</v>
      </c>
      <c r="G25" s="162">
        <f>'no mortgage'!F25+'additional costs mortgage'!F25*'partial 70% mortgage'!A25</f>
        <v>241.7</v>
      </c>
      <c r="H25" s="162">
        <f>'no mortgage'!G25+'additional costs mortgage'!G25*'partial 70% mortgage'!A25</f>
        <v>8190</v>
      </c>
      <c r="I25" s="198">
        <f t="shared" si="3"/>
        <v>15414</v>
      </c>
      <c r="J25" s="162">
        <f t="shared" si="4"/>
        <v>7224</v>
      </c>
      <c r="K25" s="162">
        <f t="shared" si="5"/>
        <v>6982.3</v>
      </c>
      <c r="L25" s="202">
        <v>0.16</v>
      </c>
      <c r="M25" s="203"/>
      <c r="N25" s="307">
        <f t="shared" si="6"/>
        <v>0.15414</v>
      </c>
      <c r="O25" s="308">
        <f t="shared" si="7"/>
        <v>0.0819</v>
      </c>
      <c r="P25" s="308">
        <f t="shared" si="8"/>
        <v>0.002417</v>
      </c>
      <c r="Q25" s="309">
        <f t="shared" si="9"/>
        <v>0.069823</v>
      </c>
      <c r="R25" s="310">
        <f t="shared" si="10"/>
        <v>0.5313351498637602</v>
      </c>
      <c r="S25" s="311">
        <f t="shared" si="11"/>
        <v>0.015680550149215</v>
      </c>
      <c r="T25" s="312">
        <f t="shared" si="12"/>
        <v>0.4529842999870248</v>
      </c>
      <c r="U25" s="310">
        <f t="shared" si="13"/>
        <v>0.8593156982656145</v>
      </c>
      <c r="V25" s="311">
        <f>E25/K25</f>
        <v>0.013032954757028486</v>
      </c>
      <c r="W25" s="312">
        <f t="shared" si="14"/>
        <v>0.12765134697735703</v>
      </c>
      <c r="X25" s="310">
        <f t="shared" si="15"/>
        <v>0.06</v>
      </c>
      <c r="Y25" s="311">
        <f>E25/100000</f>
        <v>0.00091</v>
      </c>
      <c r="Z25" s="312">
        <f>F25/100000</f>
        <v>0.008912999999999999</v>
      </c>
      <c r="AA25" s="311"/>
      <c r="AC25" s="299"/>
      <c r="AD25" s="300"/>
      <c r="AE25" s="300"/>
      <c r="AF25" s="300"/>
      <c r="AG25" s="300"/>
      <c r="AH25" s="300"/>
      <c r="AI25" s="300"/>
      <c r="AJ25" s="314"/>
      <c r="AK25" s="162"/>
      <c r="AM25" s="299"/>
      <c r="AN25" s="300"/>
      <c r="AO25" s="300"/>
      <c r="AP25" s="300"/>
      <c r="AQ25" s="300"/>
      <c r="AR25" s="300"/>
      <c r="AS25" s="300"/>
      <c r="AT25" s="201"/>
    </row>
    <row r="26" spans="1:46" ht="15.75">
      <c r="A26" s="305">
        <v>0.7</v>
      </c>
      <c r="B26" s="305"/>
      <c r="C26" s="316" t="s">
        <v>10</v>
      </c>
      <c r="D26" s="206">
        <f>'no mortgage'!C26+'additional costs mortgage'!C26*'partial 70% mortgage'!A26</f>
        <v>3600</v>
      </c>
      <c r="E26" s="206">
        <f>'no mortgage'!D26+'additional costs mortgage'!D26*'partial 70% mortgage'!A26</f>
        <v>400</v>
      </c>
      <c r="F26" s="206">
        <f>'no mortgage'!E26+'additional costs mortgage'!E26*'partial 70% mortgage'!A26</f>
        <v>0</v>
      </c>
      <c r="G26" s="206">
        <f>'no mortgage'!F26+'additional costs mortgage'!F26*'partial 70% mortgage'!A26</f>
        <v>118</v>
      </c>
      <c r="H26" s="212">
        <f>'no mortgage'!G26+'additional costs mortgage'!G26*'partial 70% mortgage'!A26</f>
        <v>2900</v>
      </c>
      <c r="I26" s="208">
        <f t="shared" si="3"/>
        <v>7018</v>
      </c>
      <c r="J26" s="206">
        <f t="shared" si="4"/>
        <v>4118</v>
      </c>
      <c r="K26" s="206">
        <f t="shared" si="5"/>
        <v>4000</v>
      </c>
      <c r="L26" s="213">
        <v>0.25</v>
      </c>
      <c r="M26" s="203"/>
      <c r="N26" s="317">
        <f t="shared" si="6"/>
        <v>0.07018</v>
      </c>
      <c r="O26" s="308">
        <f t="shared" si="7"/>
        <v>0.029</v>
      </c>
      <c r="P26" s="308">
        <f t="shared" si="8"/>
        <v>0.00118</v>
      </c>
      <c r="Q26" s="309">
        <f t="shared" si="9"/>
        <v>0.04</v>
      </c>
      <c r="R26" s="310">
        <f t="shared" si="10"/>
        <v>0.4132231404958678</v>
      </c>
      <c r="S26" s="311">
        <f t="shared" si="11"/>
        <v>0.016813907096038756</v>
      </c>
      <c r="T26" s="312">
        <f t="shared" si="12"/>
        <v>0.5699629524080935</v>
      </c>
      <c r="U26" s="310">
        <f t="shared" si="13"/>
        <v>0.9</v>
      </c>
      <c r="V26" s="311">
        <f>E26/K26</f>
        <v>0.1</v>
      </c>
      <c r="W26" s="312">
        <f t="shared" si="14"/>
        <v>0</v>
      </c>
      <c r="X26" s="209">
        <f t="shared" si="15"/>
        <v>0.036</v>
      </c>
      <c r="Y26" s="311">
        <f>E26/100000</f>
        <v>0.004</v>
      </c>
      <c r="Z26" s="210">
        <f t="shared" si="16"/>
        <v>0</v>
      </c>
      <c r="AA26" s="211"/>
      <c r="AC26" s="196" t="s">
        <v>0</v>
      </c>
      <c r="AD26" s="162">
        <v>100000</v>
      </c>
      <c r="AE26" s="162">
        <f aca="true" t="shared" si="44" ref="AE26:AJ26">D11</f>
        <v>1651</v>
      </c>
      <c r="AF26" s="162">
        <f t="shared" si="44"/>
        <v>618</v>
      </c>
      <c r="AG26" s="162">
        <f t="shared" si="44"/>
        <v>1060</v>
      </c>
      <c r="AH26" s="162">
        <f t="shared" si="44"/>
        <v>90</v>
      </c>
      <c r="AI26" s="162">
        <f t="shared" si="44"/>
        <v>0</v>
      </c>
      <c r="AJ26" s="198">
        <f t="shared" si="44"/>
        <v>3419</v>
      </c>
      <c r="AK26" s="162"/>
      <c r="AM26" s="299" t="s">
        <v>3</v>
      </c>
      <c r="AN26" s="162">
        <v>100000</v>
      </c>
      <c r="AO26" s="162">
        <f aca="true" t="shared" si="45" ref="AO26:AT26">D14</f>
        <v>4000</v>
      </c>
      <c r="AP26" s="162" t="str">
        <f t="shared" si="45"/>
        <v>n.r.</v>
      </c>
      <c r="AQ26" s="162">
        <f t="shared" si="45"/>
        <v>737.6</v>
      </c>
      <c r="AR26" s="162">
        <f t="shared" si="45"/>
        <v>454.9</v>
      </c>
      <c r="AS26" s="162">
        <f t="shared" si="45"/>
        <v>3500.0000000000005</v>
      </c>
      <c r="AT26" s="194">
        <f t="shared" si="45"/>
        <v>8692.5</v>
      </c>
    </row>
    <row r="27" spans="1:46" ht="15.75">
      <c r="A27" s="305"/>
      <c r="B27" s="305"/>
      <c r="C27" s="214" t="s">
        <v>27</v>
      </c>
      <c r="D27" s="215">
        <f>(SUM(D7:D26))/E28</f>
        <v>3763.65</v>
      </c>
      <c r="E27" s="215">
        <f>(SUM(E7:E26))/J28</f>
        <v>419.5769230769231</v>
      </c>
      <c r="F27" s="215">
        <f>(SUM(F7:F26))/E28</f>
        <v>1146.97295</v>
      </c>
      <c r="G27" s="215">
        <f>(SUM(G7:G26))/E28</f>
        <v>396.95484999999996</v>
      </c>
      <c r="H27" s="215">
        <f>(SUM(H7:H26))/E28</f>
        <v>3925.655</v>
      </c>
      <c r="I27" s="208">
        <f>(SUM(I7:I26))/E28</f>
        <v>9505.9578</v>
      </c>
      <c r="J27" s="215">
        <f>(SUM(J7:J26))/E28</f>
        <v>5580.3027999999995</v>
      </c>
      <c r="K27" s="215">
        <f>(SUM(K7:K26))/E28</f>
        <v>5183.34795</v>
      </c>
      <c r="L27" s="318"/>
      <c r="M27" s="216" t="s">
        <v>27</v>
      </c>
      <c r="N27" s="217">
        <f>(SUM(N7:N26))/E28</f>
        <v>0.095059578</v>
      </c>
      <c r="O27" s="218">
        <f>(SUM(O7:O26))/E28</f>
        <v>0.03925655</v>
      </c>
      <c r="P27" s="218">
        <f>(SUM(P7:P26))/E28</f>
        <v>0.0039695484999999996</v>
      </c>
      <c r="Q27" s="218">
        <f>(SUM(Q7:Q26))/E28</f>
        <v>0.0518334795</v>
      </c>
      <c r="R27" s="219">
        <f>(SUM(R7:R26))/E28</f>
        <v>0.31605177306947085</v>
      </c>
      <c r="S27" s="218">
        <f>(SUM(S7:S26))/E28</f>
        <v>0.044811449903278754</v>
      </c>
      <c r="T27" s="218">
        <f>(SUM(T7:T26))/E28</f>
        <v>0.6391367770272505</v>
      </c>
      <c r="U27" s="219">
        <f>(SUM(U7:U26))/E28</f>
        <v>0.7111020294738372</v>
      </c>
      <c r="V27" s="218">
        <f>(SUM(V7:V26))/E28</f>
        <v>0.060491067616237036</v>
      </c>
      <c r="W27" s="218">
        <f>(SUM(W7:W26))/E28</f>
        <v>0.22840690290992588</v>
      </c>
      <c r="X27" s="219">
        <f>(SUM(X7:X26))/E28</f>
        <v>0.037636499999999996</v>
      </c>
      <c r="Y27" s="218">
        <f>(SUM(Y7:Y26))/J28</f>
        <v>0.004195769230769231</v>
      </c>
      <c r="Z27" s="220">
        <f>(SUM(Z7:Z26))/E28</f>
        <v>0.011469729500000001</v>
      </c>
      <c r="AA27" s="221"/>
      <c r="AC27" s="299" t="s">
        <v>0</v>
      </c>
      <c r="AD27" s="162">
        <v>250000</v>
      </c>
      <c r="AE27" s="162">
        <f aca="true" t="shared" si="46" ref="AE27:AJ27">D38</f>
        <v>3579</v>
      </c>
      <c r="AF27" s="162">
        <f t="shared" si="46"/>
        <v>682.5</v>
      </c>
      <c r="AG27" s="162">
        <f t="shared" si="46"/>
        <v>1345</v>
      </c>
      <c r="AH27" s="162">
        <f t="shared" si="46"/>
        <v>225</v>
      </c>
      <c r="AI27" s="162">
        <f t="shared" si="46"/>
        <v>2520</v>
      </c>
      <c r="AJ27" s="198">
        <f t="shared" si="46"/>
        <v>8351.5</v>
      </c>
      <c r="AK27" s="162"/>
      <c r="AM27" s="299" t="s">
        <v>3</v>
      </c>
      <c r="AN27" s="162">
        <v>250000</v>
      </c>
      <c r="AO27" s="162">
        <f aca="true" t="shared" si="47" ref="AO27:AT27">D41</f>
        <v>10000</v>
      </c>
      <c r="AP27" s="162" t="str">
        <f t="shared" si="47"/>
        <v>n.r.</v>
      </c>
      <c r="AQ27" s="162">
        <f t="shared" si="47"/>
        <v>1458.5</v>
      </c>
      <c r="AR27" s="162">
        <f t="shared" si="47"/>
        <v>950.4</v>
      </c>
      <c r="AS27" s="162">
        <f t="shared" si="47"/>
        <v>8750</v>
      </c>
      <c r="AT27" s="194">
        <f t="shared" si="47"/>
        <v>21158.9</v>
      </c>
    </row>
    <row r="28" spans="3:46" ht="15.75">
      <c r="C28" s="319"/>
      <c r="D28" s="320" t="s">
        <v>44</v>
      </c>
      <c r="E28" s="321">
        <v>20</v>
      </c>
      <c r="F28" s="322"/>
      <c r="G28" s="320"/>
      <c r="H28" s="320"/>
      <c r="I28" s="320" t="s">
        <v>52</v>
      </c>
      <c r="J28" s="321">
        <v>13</v>
      </c>
      <c r="K28" s="323"/>
      <c r="L28" s="318"/>
      <c r="M28" s="222"/>
      <c r="N28" s="222"/>
      <c r="O28" s="222"/>
      <c r="P28" s="222"/>
      <c r="Q28" s="222"/>
      <c r="U28" s="324" t="s">
        <v>51</v>
      </c>
      <c r="V28" s="223">
        <f>(SUM(V7:V26))/J28</f>
        <v>0.09306318094805698</v>
      </c>
      <c r="X28" s="47"/>
      <c r="Y28" s="224"/>
      <c r="Z28" s="47"/>
      <c r="AA28" s="49"/>
      <c r="AC28" s="299" t="s">
        <v>0</v>
      </c>
      <c r="AD28" s="162">
        <v>500000</v>
      </c>
      <c r="AE28" s="162">
        <f aca="true" t="shared" si="48" ref="AE28:AJ28">D72</f>
        <v>7001</v>
      </c>
      <c r="AF28" s="162">
        <f t="shared" si="48"/>
        <v>832.5</v>
      </c>
      <c r="AG28" s="162">
        <f t="shared" si="48"/>
        <v>1700</v>
      </c>
      <c r="AH28" s="162">
        <f t="shared" si="48"/>
        <v>330</v>
      </c>
      <c r="AI28" s="162">
        <f t="shared" si="48"/>
        <v>15075</v>
      </c>
      <c r="AJ28" s="198">
        <f t="shared" si="48"/>
        <v>24938.5</v>
      </c>
      <c r="AM28" s="299"/>
      <c r="AN28" s="300"/>
      <c r="AO28" s="300"/>
      <c r="AP28" s="300"/>
      <c r="AQ28" s="300"/>
      <c r="AR28" s="300"/>
      <c r="AS28" s="300"/>
      <c r="AT28" s="201"/>
    </row>
    <row r="29" spans="4:46" ht="15.75">
      <c r="D29" s="225"/>
      <c r="M29" s="222"/>
      <c r="N29" s="222"/>
      <c r="O29" s="222"/>
      <c r="P29" s="222"/>
      <c r="Q29" s="222"/>
      <c r="W29" s="226"/>
      <c r="X29" s="227"/>
      <c r="Z29" s="227"/>
      <c r="AA29" s="227"/>
      <c r="AC29" s="316" t="s">
        <v>0</v>
      </c>
      <c r="AD29" s="182" t="s">
        <v>58</v>
      </c>
      <c r="AE29" s="206">
        <f aca="true" t="shared" si="49" ref="AE29:AJ29">D101</f>
        <v>4232.602</v>
      </c>
      <c r="AF29" s="206">
        <f t="shared" si="49"/>
        <v>711.15</v>
      </c>
      <c r="AG29" s="206">
        <f t="shared" si="49"/>
        <v>1412.805</v>
      </c>
      <c r="AH29" s="206">
        <f t="shared" si="49"/>
        <v>245.055</v>
      </c>
      <c r="AI29" s="206">
        <f t="shared" si="49"/>
        <v>4918.005</v>
      </c>
      <c r="AJ29" s="208">
        <f t="shared" si="49"/>
        <v>11519.617</v>
      </c>
      <c r="AM29" s="299" t="s">
        <v>15</v>
      </c>
      <c r="AN29" s="162">
        <v>100000</v>
      </c>
      <c r="AO29" s="162">
        <f aca="true" t="shared" si="50" ref="AO29:AT29">D15</f>
        <v>4000</v>
      </c>
      <c r="AP29" s="162">
        <f t="shared" si="50"/>
        <v>500</v>
      </c>
      <c r="AQ29" s="162">
        <f t="shared" si="50"/>
        <v>3190</v>
      </c>
      <c r="AR29" s="162">
        <f t="shared" si="50"/>
        <v>1043</v>
      </c>
      <c r="AS29" s="162">
        <f t="shared" si="50"/>
        <v>11020</v>
      </c>
      <c r="AT29" s="194">
        <f t="shared" si="50"/>
        <v>19753</v>
      </c>
    </row>
    <row r="30" spans="13:46" ht="15.75">
      <c r="M30" s="222"/>
      <c r="N30" s="222"/>
      <c r="O30" s="222"/>
      <c r="P30" s="222"/>
      <c r="Q30" s="222"/>
      <c r="X30" s="49"/>
      <c r="Y30" s="221"/>
      <c r="Z30" s="49"/>
      <c r="AA30" s="49"/>
      <c r="AC30" s="299"/>
      <c r="AD30" s="300"/>
      <c r="AE30" s="300"/>
      <c r="AF30" s="300"/>
      <c r="AG30" s="300"/>
      <c r="AH30" s="300"/>
      <c r="AI30" s="300"/>
      <c r="AJ30" s="314"/>
      <c r="AM30" s="299" t="s">
        <v>15</v>
      </c>
      <c r="AN30" s="162">
        <v>250000</v>
      </c>
      <c r="AO30" s="162">
        <f aca="true" t="shared" si="51" ref="AO30:AT30">D42</f>
        <v>10000</v>
      </c>
      <c r="AP30" s="162">
        <f t="shared" si="51"/>
        <v>500</v>
      </c>
      <c r="AQ30" s="162">
        <f t="shared" si="51"/>
        <v>6490</v>
      </c>
      <c r="AR30" s="162">
        <f t="shared" si="51"/>
        <v>2565</v>
      </c>
      <c r="AS30" s="162">
        <f t="shared" si="51"/>
        <v>28000</v>
      </c>
      <c r="AT30" s="194">
        <f t="shared" si="51"/>
        <v>47555</v>
      </c>
    </row>
    <row r="31" spans="3:46" ht="15.75">
      <c r="C31" s="295"/>
      <c r="D31" s="296"/>
      <c r="E31" s="189">
        <v>250000</v>
      </c>
      <c r="F31" s="190" t="s">
        <v>127</v>
      </c>
      <c r="G31" s="296"/>
      <c r="H31" s="296"/>
      <c r="I31" s="296"/>
      <c r="J31" s="296"/>
      <c r="K31" s="296"/>
      <c r="L31" s="298"/>
      <c r="M31" s="222"/>
      <c r="N31" s="192"/>
      <c r="O31" s="171" t="s">
        <v>28</v>
      </c>
      <c r="P31" s="172"/>
      <c r="Q31" s="298"/>
      <c r="R31" s="295"/>
      <c r="S31" s="172" t="s">
        <v>21</v>
      </c>
      <c r="T31" s="298"/>
      <c r="U31" s="295"/>
      <c r="V31" s="172" t="s">
        <v>24</v>
      </c>
      <c r="W31" s="298"/>
      <c r="X31" s="295"/>
      <c r="Y31" s="172" t="s">
        <v>39</v>
      </c>
      <c r="Z31" s="298"/>
      <c r="AA31" s="300"/>
      <c r="AB31" s="300"/>
      <c r="AC31" s="196" t="s">
        <v>1</v>
      </c>
      <c r="AD31" s="162">
        <v>100000</v>
      </c>
      <c r="AE31" s="162">
        <f aca="true" t="shared" si="52" ref="AE31:AJ31">D12</f>
        <v>3125</v>
      </c>
      <c r="AF31" s="162">
        <f t="shared" si="52"/>
        <v>600</v>
      </c>
      <c r="AG31" s="162">
        <f t="shared" si="52"/>
        <v>430</v>
      </c>
      <c r="AH31" s="162">
        <f t="shared" si="52"/>
        <v>95.8</v>
      </c>
      <c r="AI31" s="162">
        <f t="shared" si="52"/>
        <v>4000</v>
      </c>
      <c r="AJ31" s="198">
        <f t="shared" si="52"/>
        <v>8250.8</v>
      </c>
      <c r="AM31" s="299"/>
      <c r="AN31" s="300"/>
      <c r="AO31" s="300"/>
      <c r="AP31" s="300"/>
      <c r="AQ31" s="300"/>
      <c r="AR31" s="300"/>
      <c r="AS31" s="300"/>
      <c r="AT31" s="201"/>
    </row>
    <row r="32" spans="3:46" ht="12.75">
      <c r="C32" s="299"/>
      <c r="D32" s="300"/>
      <c r="E32" s="300"/>
      <c r="F32" s="300"/>
      <c r="G32" s="300"/>
      <c r="H32" s="300"/>
      <c r="I32" s="300"/>
      <c r="J32" s="300"/>
      <c r="K32" s="300"/>
      <c r="L32" s="301"/>
      <c r="M32" s="300"/>
      <c r="N32" s="302"/>
      <c r="O32" s="325" t="s">
        <v>31</v>
      </c>
      <c r="P32" s="325"/>
      <c r="Q32" s="304"/>
      <c r="R32" s="299"/>
      <c r="S32" s="325" t="s">
        <v>31</v>
      </c>
      <c r="T32" s="301"/>
      <c r="U32" s="299"/>
      <c r="V32" s="325" t="s">
        <v>31</v>
      </c>
      <c r="W32" s="301"/>
      <c r="X32" s="299"/>
      <c r="Y32" s="325" t="s">
        <v>31</v>
      </c>
      <c r="Z32" s="301"/>
      <c r="AA32" s="300"/>
      <c r="AB32" s="300"/>
      <c r="AC32" s="299" t="s">
        <v>1</v>
      </c>
      <c r="AD32" s="162">
        <v>250000</v>
      </c>
      <c r="AE32" s="162">
        <f aca="true" t="shared" si="53" ref="AE32:AJ32">D39</f>
        <v>7812.5</v>
      </c>
      <c r="AF32" s="162">
        <f t="shared" si="53"/>
        <v>600</v>
      </c>
      <c r="AG32" s="162">
        <f t="shared" si="53"/>
        <v>430</v>
      </c>
      <c r="AH32" s="162">
        <f t="shared" si="53"/>
        <v>95.8</v>
      </c>
      <c r="AI32" s="162">
        <f t="shared" si="53"/>
        <v>10000</v>
      </c>
      <c r="AJ32" s="198">
        <f t="shared" si="53"/>
        <v>18938.3</v>
      </c>
      <c r="AM32" s="299" t="s">
        <v>19</v>
      </c>
      <c r="AN32" s="162">
        <v>100000</v>
      </c>
      <c r="AO32" s="162">
        <f aca="true" t="shared" si="54" ref="AO32:AT32">D16</f>
        <v>4000</v>
      </c>
      <c r="AP32" s="162" t="str">
        <f t="shared" si="54"/>
        <v>n.r.</v>
      </c>
      <c r="AQ32" s="162">
        <f t="shared" si="54"/>
        <v>1728</v>
      </c>
      <c r="AR32" s="162">
        <f t="shared" si="54"/>
        <v>48.8</v>
      </c>
      <c r="AS32" s="162">
        <f t="shared" si="54"/>
        <v>5420</v>
      </c>
      <c r="AT32" s="194">
        <f t="shared" si="54"/>
        <v>11196.8</v>
      </c>
    </row>
    <row r="33" spans="3:46" ht="12.75">
      <c r="C33" s="174" t="s">
        <v>11</v>
      </c>
      <c r="D33" s="62" t="s">
        <v>40</v>
      </c>
      <c r="E33" s="62" t="s">
        <v>32</v>
      </c>
      <c r="F33" s="62" t="s">
        <v>46</v>
      </c>
      <c r="G33" s="62" t="s">
        <v>33</v>
      </c>
      <c r="H33" s="62" t="s">
        <v>17</v>
      </c>
      <c r="I33" s="62" t="s">
        <v>34</v>
      </c>
      <c r="J33" s="62" t="s">
        <v>36</v>
      </c>
      <c r="K33" s="62" t="s">
        <v>42</v>
      </c>
      <c r="L33" s="60" t="s">
        <v>18</v>
      </c>
      <c r="M33" s="228"/>
      <c r="N33" s="61" t="s">
        <v>37</v>
      </c>
      <c r="O33" s="62" t="s">
        <v>22</v>
      </c>
      <c r="P33" s="62" t="s">
        <v>23</v>
      </c>
      <c r="Q33" s="60" t="s">
        <v>38</v>
      </c>
      <c r="R33" s="61" t="s">
        <v>22</v>
      </c>
      <c r="S33" s="62" t="s">
        <v>23</v>
      </c>
      <c r="T33" s="60" t="s">
        <v>38</v>
      </c>
      <c r="U33" s="61" t="s">
        <v>25</v>
      </c>
      <c r="V33" s="62" t="s">
        <v>26</v>
      </c>
      <c r="W33" s="60" t="s">
        <v>47</v>
      </c>
      <c r="X33" s="61" t="s">
        <v>25</v>
      </c>
      <c r="Y33" s="62" t="s">
        <v>26</v>
      </c>
      <c r="Z33" s="60" t="s">
        <v>47</v>
      </c>
      <c r="AA33" s="24"/>
      <c r="AB33" s="24"/>
      <c r="AC33" s="299" t="s">
        <v>1</v>
      </c>
      <c r="AD33" s="162">
        <v>500000</v>
      </c>
      <c r="AE33" s="162">
        <f aca="true" t="shared" si="55" ref="AE33:AJ33">D73</f>
        <v>15625</v>
      </c>
      <c r="AF33" s="162">
        <f t="shared" si="55"/>
        <v>600</v>
      </c>
      <c r="AG33" s="162">
        <f t="shared" si="55"/>
        <v>430</v>
      </c>
      <c r="AH33" s="162">
        <f t="shared" si="55"/>
        <v>95.8</v>
      </c>
      <c r="AI33" s="162">
        <f t="shared" si="55"/>
        <v>20000</v>
      </c>
      <c r="AJ33" s="198">
        <f t="shared" si="55"/>
        <v>36750.8</v>
      </c>
      <c r="AM33" s="299" t="s">
        <v>19</v>
      </c>
      <c r="AN33" s="162">
        <v>250000</v>
      </c>
      <c r="AO33" s="162">
        <f aca="true" t="shared" si="56" ref="AO33:AT33">D43</f>
        <v>7500</v>
      </c>
      <c r="AP33" s="162" t="str">
        <f t="shared" si="56"/>
        <v>n.r.</v>
      </c>
      <c r="AQ33" s="162">
        <f t="shared" si="56"/>
        <v>3269</v>
      </c>
      <c r="AR33" s="162">
        <f t="shared" si="56"/>
        <v>48.8</v>
      </c>
      <c r="AS33" s="162">
        <f t="shared" si="56"/>
        <v>14420</v>
      </c>
      <c r="AT33" s="194">
        <f t="shared" si="56"/>
        <v>25237.8</v>
      </c>
    </row>
    <row r="34" spans="1:46" ht="12.75">
      <c r="A34" s="305">
        <v>0.7</v>
      </c>
      <c r="B34" s="305"/>
      <c r="C34" s="173" t="s">
        <v>12</v>
      </c>
      <c r="D34" s="162">
        <f>'no mortgage'!C34+'additional costs mortgage'!C34*'partial 70% mortgage'!A34</f>
        <v>15000</v>
      </c>
      <c r="E34" s="197" t="s">
        <v>43</v>
      </c>
      <c r="F34" s="162">
        <f>'no mortgage'!E34+'additional costs mortgage'!E34*'partial 70% mortgage'!A34</f>
        <v>1900</v>
      </c>
      <c r="G34" s="162">
        <f>'no mortgage'!F34+'additional costs mortgage'!F34*'partial 70% mortgage'!A34</f>
        <v>4600</v>
      </c>
      <c r="H34" s="162">
        <f>'no mortgage'!G34+'additional costs mortgage'!G34*'partial 70% mortgage'!A34</f>
        <v>8750</v>
      </c>
      <c r="I34" s="199">
        <f aca="true" t="shared" si="57" ref="I34:I53">SUM(D34:H34)</f>
        <v>30250</v>
      </c>
      <c r="J34" s="162">
        <f aca="true" t="shared" si="58" ref="J34:J53">SUM(D34:G34)</f>
        <v>21500</v>
      </c>
      <c r="K34" s="162">
        <f aca="true" t="shared" si="59" ref="K34:K53">SUM(D34:F34)</f>
        <v>16900</v>
      </c>
      <c r="L34" s="200">
        <v>0.2</v>
      </c>
      <c r="M34" s="306"/>
      <c r="N34" s="307">
        <f aca="true" t="shared" si="60" ref="N34:N53">I34/250000</f>
        <v>0.121</v>
      </c>
      <c r="O34" s="308">
        <f aca="true" t="shared" si="61" ref="O34:O53">H34/250000</f>
        <v>0.035</v>
      </c>
      <c r="P34" s="308">
        <f aca="true" t="shared" si="62" ref="P34:P53">G34/250000</f>
        <v>0.0184</v>
      </c>
      <c r="Q34" s="309">
        <f aca="true" t="shared" si="63" ref="Q34:Q53">K34/250000</f>
        <v>0.0676</v>
      </c>
      <c r="R34" s="310">
        <f aca="true" t="shared" si="64" ref="R34:R53">H34/I34</f>
        <v>0.2892561983471074</v>
      </c>
      <c r="S34" s="311">
        <f aca="true" t="shared" si="65" ref="S34:S53">G34/I34</f>
        <v>0.15206611570247933</v>
      </c>
      <c r="T34" s="312">
        <f aca="true" t="shared" si="66" ref="T34:T53">K34/I34</f>
        <v>0.5586776859504132</v>
      </c>
      <c r="U34" s="310">
        <f aca="true" t="shared" si="67" ref="U34:U53">D34/K34</f>
        <v>0.8875739644970414</v>
      </c>
      <c r="V34" s="311"/>
      <c r="W34" s="312">
        <f>F34/K34</f>
        <v>0.11242603550295859</v>
      </c>
      <c r="X34" s="310">
        <f aca="true" t="shared" si="68" ref="X34:X42">D34/250000</f>
        <v>0.06</v>
      </c>
      <c r="Y34" s="311"/>
      <c r="Z34" s="312">
        <f>F34/250000</f>
        <v>0.0076</v>
      </c>
      <c r="AA34" s="311"/>
      <c r="AB34" s="311"/>
      <c r="AC34" s="316" t="s">
        <v>1</v>
      </c>
      <c r="AD34" s="182" t="s">
        <v>58</v>
      </c>
      <c r="AE34" s="206">
        <f aca="true" t="shared" si="69" ref="AE34:AJ34">D102</f>
        <v>3867.375</v>
      </c>
      <c r="AF34" s="206">
        <f t="shared" si="69"/>
        <v>600</v>
      </c>
      <c r="AG34" s="206">
        <f t="shared" si="69"/>
        <v>430</v>
      </c>
      <c r="AH34" s="206">
        <f t="shared" si="69"/>
        <v>95.8</v>
      </c>
      <c r="AI34" s="206">
        <f t="shared" si="69"/>
        <v>4950.24</v>
      </c>
      <c r="AJ34" s="208">
        <f t="shared" si="69"/>
        <v>9943.415</v>
      </c>
      <c r="AK34" s="162"/>
      <c r="AM34" s="299"/>
      <c r="AN34" s="300"/>
      <c r="AO34" s="300"/>
      <c r="AP34" s="300"/>
      <c r="AQ34" s="300"/>
      <c r="AR34" s="300"/>
      <c r="AS34" s="300"/>
      <c r="AT34" s="201"/>
    </row>
    <row r="35" spans="1:46" ht="15.75">
      <c r="A35" s="305">
        <v>0.7</v>
      </c>
      <c r="B35" s="305"/>
      <c r="C35" s="173" t="s">
        <v>13</v>
      </c>
      <c r="D35" s="162">
        <f>'no mortgage'!C35+'additional costs mortgage'!C35*'partial 70% mortgage'!A35</f>
        <v>7500</v>
      </c>
      <c r="E35" s="197" t="s">
        <v>43</v>
      </c>
      <c r="F35" s="162">
        <f>'no mortgage'!E35+'additional costs mortgage'!E35*'partial 70% mortgage'!A35</f>
        <v>3080.828</v>
      </c>
      <c r="G35" s="162">
        <f>'no mortgage'!F35+'additional costs mortgage'!F35*'partial 70% mortgage'!A35</f>
        <v>1140</v>
      </c>
      <c r="H35" s="162">
        <f>'no mortgage'!G35+'additional costs mortgage'!G35*'partial 70% mortgage'!A35</f>
        <v>30675</v>
      </c>
      <c r="I35" s="198">
        <f t="shared" si="57"/>
        <v>42395.828</v>
      </c>
      <c r="J35" s="162">
        <f t="shared" si="58"/>
        <v>11720.828</v>
      </c>
      <c r="K35" s="162">
        <f t="shared" si="59"/>
        <v>10580.828</v>
      </c>
      <c r="L35" s="202">
        <v>0.21</v>
      </c>
      <c r="M35" s="203"/>
      <c r="N35" s="307">
        <f t="shared" si="60"/>
        <v>0.169583312</v>
      </c>
      <c r="O35" s="308">
        <f t="shared" si="61"/>
        <v>0.1227</v>
      </c>
      <c r="P35" s="308">
        <f t="shared" si="62"/>
        <v>0.00456</v>
      </c>
      <c r="Q35" s="309">
        <f t="shared" si="63"/>
        <v>0.042323311999999995</v>
      </c>
      <c r="R35" s="310">
        <f t="shared" si="64"/>
        <v>0.7235381745581192</v>
      </c>
      <c r="S35" s="311">
        <f t="shared" si="65"/>
        <v>0.026889438272086584</v>
      </c>
      <c r="T35" s="312">
        <f t="shared" si="66"/>
        <v>0.24957238716979413</v>
      </c>
      <c r="U35" s="310">
        <f t="shared" si="67"/>
        <v>0.7088292145000372</v>
      </c>
      <c r="V35" s="311"/>
      <c r="W35" s="312">
        <f aca="true" t="shared" si="70" ref="W35:W53">F35/K35</f>
        <v>0.2911707854999628</v>
      </c>
      <c r="X35" s="310">
        <f t="shared" si="68"/>
        <v>0.03</v>
      </c>
      <c r="Y35" s="311"/>
      <c r="Z35" s="312">
        <f aca="true" t="shared" si="71" ref="Z35:Z52">F35/250000</f>
        <v>0.012323312</v>
      </c>
      <c r="AA35" s="311"/>
      <c r="AB35" s="311"/>
      <c r="AC35" s="299"/>
      <c r="AD35" s="300"/>
      <c r="AE35" s="300"/>
      <c r="AF35" s="300"/>
      <c r="AG35" s="300"/>
      <c r="AH35" s="300"/>
      <c r="AI35" s="300"/>
      <c r="AJ35" s="314"/>
      <c r="AK35" s="162"/>
      <c r="AM35" s="299" t="s">
        <v>4</v>
      </c>
      <c r="AN35" s="162">
        <v>100000</v>
      </c>
      <c r="AO35" s="162">
        <f aca="true" t="shared" si="72" ref="AO35:AT35">D17</f>
        <v>2000</v>
      </c>
      <c r="AP35" s="162">
        <f t="shared" si="72"/>
        <v>500</v>
      </c>
      <c r="AQ35" s="162">
        <f t="shared" si="72"/>
        <v>1000</v>
      </c>
      <c r="AR35" s="162">
        <f t="shared" si="72"/>
        <v>375</v>
      </c>
      <c r="AS35" s="162">
        <f t="shared" si="72"/>
        <v>0</v>
      </c>
      <c r="AT35" s="194">
        <f t="shared" si="72"/>
        <v>3875</v>
      </c>
    </row>
    <row r="36" spans="1:46" ht="15.75">
      <c r="A36" s="305">
        <v>0.7</v>
      </c>
      <c r="B36" s="305"/>
      <c r="C36" s="173" t="s">
        <v>154</v>
      </c>
      <c r="D36" s="162">
        <f>'no mortgage'!C36+'additional costs mortgage'!C36*'partial 70% mortgage'!A36</f>
        <v>10000</v>
      </c>
      <c r="E36" s="162">
        <f>'no mortgage'!D36+'additional costs mortgage'!D36*'partial 70% mortgage'!A36</f>
        <v>350</v>
      </c>
      <c r="F36" s="162">
        <f>'no mortgage'!E36+'additional costs mortgage'!E36*'partial 70% mortgage'!A36</f>
        <v>850</v>
      </c>
      <c r="G36" s="162">
        <f>'no mortgage'!F36+'additional costs mortgage'!F36*'partial 70% mortgage'!A36</f>
        <v>17</v>
      </c>
      <c r="H36" s="162">
        <f>'no mortgage'!G36+'additional costs mortgage'!G36*'partial 70% mortgage'!A36</f>
        <v>0</v>
      </c>
      <c r="I36" s="198">
        <f t="shared" si="57"/>
        <v>11217</v>
      </c>
      <c r="J36" s="162">
        <f t="shared" si="58"/>
        <v>11217</v>
      </c>
      <c r="K36" s="162">
        <f t="shared" si="59"/>
        <v>11200</v>
      </c>
      <c r="L36" s="202">
        <v>0.19</v>
      </c>
      <c r="M36" s="203"/>
      <c r="N36" s="307">
        <f t="shared" si="60"/>
        <v>0.044868</v>
      </c>
      <c r="O36" s="308">
        <f t="shared" si="61"/>
        <v>0</v>
      </c>
      <c r="P36" s="308">
        <f t="shared" si="62"/>
        <v>6.8E-05</v>
      </c>
      <c r="Q36" s="309">
        <f t="shared" si="63"/>
        <v>0.0448</v>
      </c>
      <c r="R36" s="310">
        <f t="shared" si="64"/>
        <v>0</v>
      </c>
      <c r="S36" s="311">
        <f t="shared" si="65"/>
        <v>0.0015155567442275118</v>
      </c>
      <c r="T36" s="312">
        <f t="shared" si="66"/>
        <v>0.9984844432557725</v>
      </c>
      <c r="U36" s="310">
        <f t="shared" si="67"/>
        <v>0.8928571428571429</v>
      </c>
      <c r="V36" s="311"/>
      <c r="W36" s="312">
        <f t="shared" si="70"/>
        <v>0.07589285714285714</v>
      </c>
      <c r="X36" s="204">
        <f t="shared" si="68"/>
        <v>0.04</v>
      </c>
      <c r="Y36" s="311">
        <f>E36/250000</f>
        <v>0.0014</v>
      </c>
      <c r="Z36" s="210">
        <f t="shared" si="71"/>
        <v>0.0034</v>
      </c>
      <c r="AA36" s="311"/>
      <c r="AB36" s="311"/>
      <c r="AC36" s="196" t="s">
        <v>2</v>
      </c>
      <c r="AD36" s="162">
        <v>100000</v>
      </c>
      <c r="AE36" s="162">
        <f aca="true" t="shared" si="73" ref="AE36:AJ36">D13</f>
        <v>8000</v>
      </c>
      <c r="AF36" s="162">
        <f t="shared" si="73"/>
        <v>500</v>
      </c>
      <c r="AG36" s="162">
        <f t="shared" si="73"/>
        <v>1422.731</v>
      </c>
      <c r="AH36" s="162">
        <f t="shared" si="73"/>
        <v>135</v>
      </c>
      <c r="AI36" s="162">
        <f t="shared" si="73"/>
        <v>5060</v>
      </c>
      <c r="AJ36" s="198">
        <f t="shared" si="73"/>
        <v>15117.731</v>
      </c>
      <c r="AK36" s="162"/>
      <c r="AM36" s="299" t="s">
        <v>4</v>
      </c>
      <c r="AN36" s="162">
        <v>250000</v>
      </c>
      <c r="AO36" s="162">
        <f aca="true" t="shared" si="74" ref="AO36:AT36">D44</f>
        <v>2000</v>
      </c>
      <c r="AP36" s="162">
        <f t="shared" si="74"/>
        <v>640</v>
      </c>
      <c r="AQ36" s="162">
        <f t="shared" si="74"/>
        <v>2000</v>
      </c>
      <c r="AR36" s="162">
        <f t="shared" si="74"/>
        <v>375</v>
      </c>
      <c r="AS36" s="162">
        <f t="shared" si="74"/>
        <v>10000</v>
      </c>
      <c r="AT36" s="194">
        <f t="shared" si="74"/>
        <v>15015</v>
      </c>
    </row>
    <row r="37" spans="1:46" ht="15.75">
      <c r="A37" s="305">
        <v>0.7</v>
      </c>
      <c r="B37" s="305"/>
      <c r="C37" s="299" t="s">
        <v>14</v>
      </c>
      <c r="D37" s="162">
        <f>'no mortgage'!C37+'additional costs mortgage'!C37*'partial 70% mortgage'!A37</f>
        <v>7747</v>
      </c>
      <c r="E37" s="162">
        <f>'no mortgage'!D37+'additional costs mortgage'!D37*'partial 70% mortgage'!A37</f>
        <v>1020</v>
      </c>
      <c r="F37" s="162">
        <f>'no mortgage'!E37+'additional costs mortgage'!E37*'partial 70% mortgage'!A37</f>
        <v>1013</v>
      </c>
      <c r="G37" s="162">
        <f>'no mortgage'!F37+'additional costs mortgage'!F37*'partial 70% mortgage'!A37</f>
        <v>4442.9</v>
      </c>
      <c r="H37" s="162">
        <f>'no mortgage'!G37+'additional costs mortgage'!G37*'partial 70% mortgage'!A37</f>
        <v>0</v>
      </c>
      <c r="I37" s="198">
        <f t="shared" si="57"/>
        <v>14222.9</v>
      </c>
      <c r="J37" s="162">
        <f t="shared" si="58"/>
        <v>14222.9</v>
      </c>
      <c r="K37" s="162">
        <f t="shared" si="59"/>
        <v>9780</v>
      </c>
      <c r="L37" s="202">
        <v>0.25</v>
      </c>
      <c r="M37" s="203"/>
      <c r="N37" s="307">
        <f t="shared" si="60"/>
        <v>0.0568916</v>
      </c>
      <c r="O37" s="308">
        <f t="shared" si="61"/>
        <v>0</v>
      </c>
      <c r="P37" s="308">
        <f t="shared" si="62"/>
        <v>0.0177716</v>
      </c>
      <c r="Q37" s="309">
        <f t="shared" si="63"/>
        <v>0.03912</v>
      </c>
      <c r="R37" s="310">
        <f t="shared" si="64"/>
        <v>0</v>
      </c>
      <c r="S37" s="311">
        <f t="shared" si="65"/>
        <v>0.3123765195564899</v>
      </c>
      <c r="T37" s="312">
        <f t="shared" si="66"/>
        <v>0.6876234804435102</v>
      </c>
      <c r="U37" s="310">
        <f t="shared" si="67"/>
        <v>0.7921267893660532</v>
      </c>
      <c r="V37" s="311">
        <f>E37/K37</f>
        <v>0.10429447852760736</v>
      </c>
      <c r="W37" s="312">
        <f t="shared" si="70"/>
        <v>0.10357873210633947</v>
      </c>
      <c r="X37" s="209">
        <f t="shared" si="68"/>
        <v>0.030988</v>
      </c>
      <c r="Y37" s="311">
        <f>E37/250000</f>
        <v>0.00408</v>
      </c>
      <c r="Z37" s="210">
        <f t="shared" si="71"/>
        <v>0.004052</v>
      </c>
      <c r="AA37" s="211"/>
      <c r="AB37" s="211"/>
      <c r="AC37" s="299" t="s">
        <v>2</v>
      </c>
      <c r="AD37" s="162">
        <v>250000</v>
      </c>
      <c r="AE37" s="162">
        <f aca="true" t="shared" si="75" ref="AE37:AJ37">D40</f>
        <v>17500</v>
      </c>
      <c r="AF37" s="162">
        <f t="shared" si="75"/>
        <v>500</v>
      </c>
      <c r="AG37" s="162">
        <f t="shared" si="75"/>
        <v>2948.9</v>
      </c>
      <c r="AH37" s="162">
        <f t="shared" si="75"/>
        <v>337.5</v>
      </c>
      <c r="AI37" s="162">
        <f t="shared" si="75"/>
        <v>12650</v>
      </c>
      <c r="AJ37" s="198">
        <f t="shared" si="75"/>
        <v>33936.4</v>
      </c>
      <c r="AK37" s="162"/>
      <c r="AM37" s="299"/>
      <c r="AN37" s="300"/>
      <c r="AO37" s="300"/>
      <c r="AP37" s="300"/>
      <c r="AQ37" s="300"/>
      <c r="AR37" s="300"/>
      <c r="AS37" s="300"/>
      <c r="AT37" s="201"/>
    </row>
    <row r="38" spans="1:46" ht="15.75">
      <c r="A38" s="305">
        <v>0.7</v>
      </c>
      <c r="B38" s="305"/>
      <c r="C38" s="299" t="s">
        <v>203</v>
      </c>
      <c r="D38" s="162">
        <f>'no mortgage'!C38+'additional costs mortgage'!C38*'partial 70% mortgage'!A38</f>
        <v>3579</v>
      </c>
      <c r="E38" s="162">
        <f>'no mortgage'!D38+'additional costs mortgage'!D38*'partial 70% mortgage'!A38</f>
        <v>682.5</v>
      </c>
      <c r="F38" s="162">
        <f>'no mortgage'!E38+'additional costs mortgage'!E38*'partial 70% mortgage'!A38</f>
        <v>1345</v>
      </c>
      <c r="G38" s="162">
        <f>'no mortgage'!F38+'additional costs mortgage'!F38*'partial 70% mortgage'!A38</f>
        <v>225</v>
      </c>
      <c r="H38" s="162">
        <f>'no mortgage'!G38+'additional costs mortgage'!G38*'partial 70% mortgage'!A38</f>
        <v>2520</v>
      </c>
      <c r="I38" s="198">
        <f t="shared" si="57"/>
        <v>8351.5</v>
      </c>
      <c r="J38" s="162">
        <f t="shared" si="58"/>
        <v>5831.5</v>
      </c>
      <c r="K38" s="162">
        <f t="shared" si="59"/>
        <v>5606.5</v>
      </c>
      <c r="L38" s="202">
        <v>0.175</v>
      </c>
      <c r="M38" s="203"/>
      <c r="N38" s="307">
        <f t="shared" si="60"/>
        <v>0.033406</v>
      </c>
      <c r="O38" s="308">
        <f t="shared" si="61"/>
        <v>0.01008</v>
      </c>
      <c r="P38" s="308">
        <f t="shared" si="62"/>
        <v>0.0009</v>
      </c>
      <c r="Q38" s="309">
        <f t="shared" si="63"/>
        <v>0.022426</v>
      </c>
      <c r="R38" s="310">
        <f t="shared" si="64"/>
        <v>0.3017422019996408</v>
      </c>
      <c r="S38" s="311">
        <f t="shared" si="65"/>
        <v>0.02694126803568221</v>
      </c>
      <c r="T38" s="312">
        <f t="shared" si="66"/>
        <v>0.6713165299646771</v>
      </c>
      <c r="U38" s="310">
        <f t="shared" si="67"/>
        <v>0.6383661821100508</v>
      </c>
      <c r="V38" s="311">
        <f>E38/K38</f>
        <v>0.12173370195309016</v>
      </c>
      <c r="W38" s="312">
        <f t="shared" si="70"/>
        <v>0.239900115936859</v>
      </c>
      <c r="X38" s="310">
        <f t="shared" si="68"/>
        <v>0.014316</v>
      </c>
      <c r="Y38" s="311">
        <f>E38/250000</f>
        <v>0.00273</v>
      </c>
      <c r="Z38" s="312">
        <f t="shared" si="71"/>
        <v>0.00538</v>
      </c>
      <c r="AA38" s="311"/>
      <c r="AB38" s="311"/>
      <c r="AC38" s="299" t="s">
        <v>2</v>
      </c>
      <c r="AD38" s="162">
        <v>500000</v>
      </c>
      <c r="AE38" s="162">
        <f aca="true" t="shared" si="76" ref="AE38:AJ38">D74</f>
        <v>30000</v>
      </c>
      <c r="AF38" s="162">
        <f t="shared" si="76"/>
        <v>500</v>
      </c>
      <c r="AG38" s="162">
        <f t="shared" si="76"/>
        <v>5492.5</v>
      </c>
      <c r="AH38" s="162">
        <f t="shared" si="76"/>
        <v>675</v>
      </c>
      <c r="AI38" s="162">
        <f t="shared" si="76"/>
        <v>25300</v>
      </c>
      <c r="AJ38" s="198">
        <f t="shared" si="76"/>
        <v>61967.5</v>
      </c>
      <c r="AK38" s="162"/>
      <c r="AM38" s="299" t="s">
        <v>5</v>
      </c>
      <c r="AN38" s="162">
        <v>100000</v>
      </c>
      <c r="AO38" s="162">
        <f aca="true" t="shared" si="77" ref="AO38:AT38">D18</f>
        <v>6000</v>
      </c>
      <c r="AP38" s="162" t="str">
        <f t="shared" si="77"/>
        <v>n.r.</v>
      </c>
      <c r="AQ38" s="162">
        <f t="shared" si="77"/>
        <v>2319</v>
      </c>
      <c r="AR38" s="162">
        <f t="shared" si="77"/>
        <v>139.297</v>
      </c>
      <c r="AS38" s="162">
        <f t="shared" si="77"/>
        <v>2015.6</v>
      </c>
      <c r="AT38" s="194">
        <f t="shared" si="77"/>
        <v>10473.897</v>
      </c>
    </row>
    <row r="39" spans="1:46" ht="15.75">
      <c r="A39" s="305">
        <v>0.7</v>
      </c>
      <c r="B39" s="305"/>
      <c r="C39" s="299" t="s">
        <v>1</v>
      </c>
      <c r="D39" s="162">
        <f>'no mortgage'!C39+'additional costs mortgage'!C39*'partial 70% mortgage'!A39</f>
        <v>7812.5</v>
      </c>
      <c r="E39" s="162">
        <f>'no mortgage'!D39+'additional costs mortgage'!D39*'partial 70% mortgage'!A39</f>
        <v>600</v>
      </c>
      <c r="F39" s="162">
        <v>430</v>
      </c>
      <c r="G39" s="162">
        <f>'no mortgage'!F39+'additional costs mortgage'!F39*'partial 70% mortgage'!A39</f>
        <v>95.8</v>
      </c>
      <c r="H39" s="162">
        <f>'no mortgage'!G39+'additional costs mortgage'!G39*'partial 70% mortgage'!A39</f>
        <v>10000</v>
      </c>
      <c r="I39" s="198">
        <f t="shared" si="57"/>
        <v>18938.3</v>
      </c>
      <c r="J39" s="162">
        <f t="shared" si="58"/>
        <v>8938.3</v>
      </c>
      <c r="K39" s="162">
        <f t="shared" si="59"/>
        <v>8842.5</v>
      </c>
      <c r="L39" s="202">
        <v>0.28</v>
      </c>
      <c r="M39" s="203"/>
      <c r="N39" s="307">
        <f t="shared" si="60"/>
        <v>0.07575319999999999</v>
      </c>
      <c r="O39" s="308">
        <f t="shared" si="61"/>
        <v>0.04</v>
      </c>
      <c r="P39" s="308">
        <f t="shared" si="62"/>
        <v>0.0003832</v>
      </c>
      <c r="Q39" s="309">
        <f t="shared" si="63"/>
        <v>0.03537</v>
      </c>
      <c r="R39" s="310">
        <f t="shared" si="64"/>
        <v>0.5280304990416247</v>
      </c>
      <c r="S39" s="311">
        <f t="shared" si="65"/>
        <v>0.005058532180818764</v>
      </c>
      <c r="T39" s="312">
        <f t="shared" si="66"/>
        <v>0.4669109687775566</v>
      </c>
      <c r="U39" s="310">
        <f t="shared" si="67"/>
        <v>0.8835171048911507</v>
      </c>
      <c r="V39" s="311">
        <f>E39/K39</f>
        <v>0.06785411365564037</v>
      </c>
      <c r="W39" s="312">
        <f t="shared" si="70"/>
        <v>0.04862878145320893</v>
      </c>
      <c r="X39" s="209">
        <f t="shared" si="68"/>
        <v>0.03125</v>
      </c>
      <c r="Y39" s="311">
        <f>E39/250000</f>
        <v>0.0024</v>
      </c>
      <c r="Z39" s="210">
        <f t="shared" si="71"/>
        <v>0.00172</v>
      </c>
      <c r="AA39" s="211"/>
      <c r="AB39" s="211"/>
      <c r="AC39" s="316" t="s">
        <v>2</v>
      </c>
      <c r="AD39" s="182" t="s">
        <v>58</v>
      </c>
      <c r="AE39" s="206">
        <f aca="true" t="shared" si="78" ref="AE39:AJ39">D103</f>
        <v>16019.894512427709</v>
      </c>
      <c r="AF39" s="206">
        <f t="shared" si="78"/>
        <v>500</v>
      </c>
      <c r="AG39" s="206">
        <f t="shared" si="78"/>
        <v>2711.1219882249775</v>
      </c>
      <c r="AH39" s="206">
        <f t="shared" si="78"/>
        <v>305.9503830280644</v>
      </c>
      <c r="AI39" s="206">
        <f t="shared" si="78"/>
        <v>11467.47361571856</v>
      </c>
      <c r="AJ39" s="208">
        <f t="shared" si="78"/>
        <v>31004.44049939931</v>
      </c>
      <c r="AK39" s="162"/>
      <c r="AM39" s="299" t="s">
        <v>5</v>
      </c>
      <c r="AN39" s="162">
        <v>250000</v>
      </c>
      <c r="AO39" s="162">
        <f aca="true" t="shared" si="79" ref="AO39:AT39">D45</f>
        <v>15000</v>
      </c>
      <c r="AP39" s="162" t="str">
        <f t="shared" si="79"/>
        <v>n.r.</v>
      </c>
      <c r="AQ39" s="162">
        <f t="shared" si="79"/>
        <v>3245</v>
      </c>
      <c r="AR39" s="162">
        <f t="shared" si="79"/>
        <v>139.297</v>
      </c>
      <c r="AS39" s="162">
        <f t="shared" si="79"/>
        <v>4265.6</v>
      </c>
      <c r="AT39" s="194">
        <f t="shared" si="79"/>
        <v>22649.896999999997</v>
      </c>
    </row>
    <row r="40" spans="1:46" ht="15.75">
      <c r="A40" s="305">
        <v>0.7</v>
      </c>
      <c r="B40" s="305"/>
      <c r="C40" s="299" t="s">
        <v>2</v>
      </c>
      <c r="D40" s="162">
        <f>'no mortgage'!C40+'additional costs mortgage'!C40*'partial 70% mortgage'!A40</f>
        <v>17500</v>
      </c>
      <c r="E40" s="162">
        <f>'no mortgage'!D40+'additional costs mortgage'!D40*'partial 70% mortgage'!A40</f>
        <v>500</v>
      </c>
      <c r="F40" s="162">
        <f>'no mortgage'!E40+'additional costs mortgage'!E40*'partial 70% mortgage'!A40</f>
        <v>2948.9</v>
      </c>
      <c r="G40" s="162">
        <f>'no mortgage'!F40+'additional costs mortgage'!F40*'partial 70% mortgage'!A40</f>
        <v>337.5</v>
      </c>
      <c r="H40" s="162">
        <f>'no mortgage'!G40+'additional costs mortgage'!G40*'partial 70% mortgage'!A40</f>
        <v>12650</v>
      </c>
      <c r="I40" s="198">
        <f t="shared" si="57"/>
        <v>33936.4</v>
      </c>
      <c r="J40" s="162">
        <f t="shared" si="58"/>
        <v>21286.4</v>
      </c>
      <c r="K40" s="162">
        <f t="shared" si="59"/>
        <v>20948.9</v>
      </c>
      <c r="L40" s="202">
        <v>0.196</v>
      </c>
      <c r="M40" s="203"/>
      <c r="N40" s="307">
        <f t="shared" si="60"/>
        <v>0.1357456</v>
      </c>
      <c r="O40" s="308">
        <f t="shared" si="61"/>
        <v>0.0506</v>
      </c>
      <c r="P40" s="308">
        <f t="shared" si="62"/>
        <v>0.00135</v>
      </c>
      <c r="Q40" s="309">
        <f t="shared" si="63"/>
        <v>0.08379560000000001</v>
      </c>
      <c r="R40" s="310">
        <f t="shared" si="64"/>
        <v>0.37275609669853016</v>
      </c>
      <c r="S40" s="311">
        <f t="shared" si="65"/>
        <v>0.009945073726146557</v>
      </c>
      <c r="T40" s="312">
        <f t="shared" si="66"/>
        <v>0.6172988295753232</v>
      </c>
      <c r="U40" s="310">
        <f t="shared" si="67"/>
        <v>0.8353660574063554</v>
      </c>
      <c r="V40" s="311">
        <f>E40/K40</f>
        <v>0.023867601640181584</v>
      </c>
      <c r="W40" s="312">
        <f t="shared" si="70"/>
        <v>0.14076634095346294</v>
      </c>
      <c r="X40" s="310">
        <f t="shared" si="68"/>
        <v>0.07</v>
      </c>
      <c r="Y40" s="311">
        <f>E40/250000</f>
        <v>0.002</v>
      </c>
      <c r="Z40" s="312">
        <f t="shared" si="71"/>
        <v>0.0117956</v>
      </c>
      <c r="AA40" s="311"/>
      <c r="AB40" s="311"/>
      <c r="AC40" s="299"/>
      <c r="AD40" s="300"/>
      <c r="AE40" s="300"/>
      <c r="AF40" s="300"/>
      <c r="AG40" s="300"/>
      <c r="AH40" s="300"/>
      <c r="AI40" s="300"/>
      <c r="AJ40" s="314"/>
      <c r="AK40" s="162"/>
      <c r="AM40" s="299"/>
      <c r="AN40" s="300"/>
      <c r="AO40" s="300"/>
      <c r="AP40" s="300"/>
      <c r="AQ40" s="300"/>
      <c r="AR40" s="300"/>
      <c r="AS40" s="300"/>
      <c r="AT40" s="201"/>
    </row>
    <row r="41" spans="1:46" ht="15.75">
      <c r="A41" s="305">
        <v>0.7</v>
      </c>
      <c r="B41" s="305"/>
      <c r="C41" s="299" t="s">
        <v>3</v>
      </c>
      <c r="D41" s="162">
        <f>'no mortgage'!C41+'additional costs mortgage'!C41*'partial 70% mortgage'!A41</f>
        <v>10000</v>
      </c>
      <c r="E41" s="197" t="s">
        <v>43</v>
      </c>
      <c r="F41" s="162">
        <f>'no mortgage'!E41+'additional costs mortgage'!E41*'partial 70% mortgage'!A41</f>
        <v>1458.5</v>
      </c>
      <c r="G41" s="162">
        <f>'no mortgage'!F41+'additional costs mortgage'!F41*'partial 70% mortgage'!A41</f>
        <v>950.4</v>
      </c>
      <c r="H41" s="162">
        <f>'no mortgage'!G41+'additional costs mortgage'!G41*'partial 70% mortgage'!A41</f>
        <v>8750</v>
      </c>
      <c r="I41" s="198">
        <f t="shared" si="57"/>
        <v>21158.9</v>
      </c>
      <c r="J41" s="162">
        <f t="shared" si="58"/>
        <v>12408.9</v>
      </c>
      <c r="K41" s="162">
        <f t="shared" si="59"/>
        <v>11458.5</v>
      </c>
      <c r="L41" s="202">
        <v>0.16</v>
      </c>
      <c r="M41" s="203"/>
      <c r="N41" s="307">
        <f t="shared" si="60"/>
        <v>0.0846356</v>
      </c>
      <c r="O41" s="308">
        <f t="shared" si="61"/>
        <v>0.035</v>
      </c>
      <c r="P41" s="308">
        <f t="shared" si="62"/>
        <v>0.0038016</v>
      </c>
      <c r="Q41" s="309">
        <f t="shared" si="63"/>
        <v>0.045834</v>
      </c>
      <c r="R41" s="310">
        <f t="shared" si="64"/>
        <v>0.4135375657524729</v>
      </c>
      <c r="S41" s="311">
        <f t="shared" si="65"/>
        <v>0.04491726885613146</v>
      </c>
      <c r="T41" s="312">
        <f t="shared" si="66"/>
        <v>0.5415451653913955</v>
      </c>
      <c r="U41" s="310">
        <f t="shared" si="67"/>
        <v>0.8727145786970372</v>
      </c>
      <c r="V41" s="311"/>
      <c r="W41" s="312">
        <f t="shared" si="70"/>
        <v>0.12728542130296286</v>
      </c>
      <c r="X41" s="310">
        <f t="shared" si="68"/>
        <v>0.04</v>
      </c>
      <c r="Y41" s="311"/>
      <c r="Z41" s="312">
        <f t="shared" si="71"/>
        <v>0.005834</v>
      </c>
      <c r="AA41" s="311"/>
      <c r="AB41" s="311"/>
      <c r="AC41" s="196" t="s">
        <v>3</v>
      </c>
      <c r="AD41" s="162">
        <v>100000</v>
      </c>
      <c r="AE41" s="162">
        <f aca="true" t="shared" si="80" ref="AE41:AJ41">D14</f>
        <v>4000</v>
      </c>
      <c r="AF41" s="197" t="str">
        <f t="shared" si="80"/>
        <v>n.r.</v>
      </c>
      <c r="AG41" s="162">
        <f t="shared" si="80"/>
        <v>737.6</v>
      </c>
      <c r="AH41" s="162">
        <f t="shared" si="80"/>
        <v>454.9</v>
      </c>
      <c r="AI41" s="162">
        <f t="shared" si="80"/>
        <v>3500.0000000000005</v>
      </c>
      <c r="AJ41" s="198">
        <f t="shared" si="80"/>
        <v>8692.5</v>
      </c>
      <c r="AK41" s="162"/>
      <c r="AM41" s="299" t="s">
        <v>6</v>
      </c>
      <c r="AN41" s="162">
        <v>100000</v>
      </c>
      <c r="AO41" s="162">
        <f aca="true" t="shared" si="81" ref="AO41:AT41">D19</f>
        <v>1850</v>
      </c>
      <c r="AP41" s="162" t="str">
        <f t="shared" si="81"/>
        <v>n.r.</v>
      </c>
      <c r="AQ41" s="162">
        <f t="shared" si="81"/>
        <v>1055.8</v>
      </c>
      <c r="AR41" s="162">
        <f t="shared" si="81"/>
        <v>164.1</v>
      </c>
      <c r="AS41" s="162">
        <f t="shared" si="81"/>
        <v>6000</v>
      </c>
      <c r="AT41" s="194">
        <f t="shared" si="81"/>
        <v>9069.9</v>
      </c>
    </row>
    <row r="42" spans="1:46" ht="15.75">
      <c r="A42" s="305">
        <v>0.7</v>
      </c>
      <c r="B42" s="305"/>
      <c r="C42" s="299" t="s">
        <v>15</v>
      </c>
      <c r="D42" s="162">
        <f>'no mortgage'!C42+'additional costs mortgage'!C42*'partial 70% mortgage'!A42</f>
        <v>10000</v>
      </c>
      <c r="E42" s="162">
        <f>'no mortgage'!D42+'additional costs mortgage'!D42*'partial 70% mortgage'!A42</f>
        <v>500</v>
      </c>
      <c r="F42" s="162">
        <f>'no mortgage'!E42+'additional costs mortgage'!E42*'partial 70% mortgage'!A42</f>
        <v>6490</v>
      </c>
      <c r="G42" s="162">
        <f>'no mortgage'!F42+'additional costs mortgage'!F42*'partial 70% mortgage'!A42</f>
        <v>2565</v>
      </c>
      <c r="H42" s="162">
        <f>'no mortgage'!G42+'additional costs mortgage'!G42*'partial 70% mortgage'!A42</f>
        <v>28000</v>
      </c>
      <c r="I42" s="198">
        <f t="shared" si="57"/>
        <v>47555</v>
      </c>
      <c r="J42" s="162">
        <f t="shared" si="58"/>
        <v>19555</v>
      </c>
      <c r="K42" s="162">
        <f t="shared" si="59"/>
        <v>16990</v>
      </c>
      <c r="L42" s="202">
        <v>0.19</v>
      </c>
      <c r="M42" s="203"/>
      <c r="N42" s="307">
        <f t="shared" si="60"/>
        <v>0.19022</v>
      </c>
      <c r="O42" s="308">
        <f t="shared" si="61"/>
        <v>0.112</v>
      </c>
      <c r="P42" s="308">
        <f t="shared" si="62"/>
        <v>0.01026</v>
      </c>
      <c r="Q42" s="309">
        <f t="shared" si="63"/>
        <v>0.06796</v>
      </c>
      <c r="R42" s="310">
        <f t="shared" si="64"/>
        <v>0.5887919251393123</v>
      </c>
      <c r="S42" s="311">
        <f t="shared" si="65"/>
        <v>0.05393754599936915</v>
      </c>
      <c r="T42" s="312">
        <f t="shared" si="66"/>
        <v>0.3572705288613185</v>
      </c>
      <c r="U42" s="310">
        <f t="shared" si="67"/>
        <v>0.5885815185403178</v>
      </c>
      <c r="V42" s="311">
        <f>E42/K42</f>
        <v>0.02942907592701589</v>
      </c>
      <c r="W42" s="312">
        <f t="shared" si="70"/>
        <v>0.38198940553266625</v>
      </c>
      <c r="X42" s="310">
        <f t="shared" si="68"/>
        <v>0.04</v>
      </c>
      <c r="Y42" s="311">
        <f>E42/250000</f>
        <v>0.002</v>
      </c>
      <c r="Z42" s="312">
        <f t="shared" si="71"/>
        <v>0.02596</v>
      </c>
      <c r="AA42" s="311"/>
      <c r="AB42" s="311"/>
      <c r="AC42" s="299" t="s">
        <v>3</v>
      </c>
      <c r="AD42" s="162">
        <v>250000</v>
      </c>
      <c r="AE42" s="162">
        <f aca="true" t="shared" si="82" ref="AE42:AJ42">D41</f>
        <v>10000</v>
      </c>
      <c r="AF42" s="197" t="str">
        <f t="shared" si="82"/>
        <v>n.r.</v>
      </c>
      <c r="AG42" s="162">
        <f t="shared" si="82"/>
        <v>1458.5</v>
      </c>
      <c r="AH42" s="162">
        <f t="shared" si="82"/>
        <v>950.4</v>
      </c>
      <c r="AI42" s="162">
        <f t="shared" si="82"/>
        <v>8750</v>
      </c>
      <c r="AJ42" s="198">
        <f t="shared" si="82"/>
        <v>21158.9</v>
      </c>
      <c r="AK42" s="162"/>
      <c r="AM42" s="299" t="s">
        <v>6</v>
      </c>
      <c r="AN42" s="162">
        <v>250000</v>
      </c>
      <c r="AO42" s="162">
        <f aca="true" t="shared" si="83" ref="AO42:AT42">D46</f>
        <v>4625</v>
      </c>
      <c r="AP42" s="162" t="str">
        <f t="shared" si="83"/>
        <v>n.r.</v>
      </c>
      <c r="AQ42" s="162">
        <f t="shared" si="83"/>
        <v>1152.9</v>
      </c>
      <c r="AR42" s="162">
        <f t="shared" si="83"/>
        <v>164.1</v>
      </c>
      <c r="AS42" s="162">
        <f t="shared" si="83"/>
        <v>15000</v>
      </c>
      <c r="AT42" s="194">
        <f t="shared" si="83"/>
        <v>20942</v>
      </c>
    </row>
    <row r="43" spans="1:46" ht="15.75">
      <c r="A43" s="305">
        <v>0.7</v>
      </c>
      <c r="B43" s="305"/>
      <c r="C43" s="299" t="s">
        <v>19</v>
      </c>
      <c r="D43" s="162">
        <f>'no mortgage'!C43+'additional costs mortgage'!C43*'partial 70% mortgage'!A43</f>
        <v>7500</v>
      </c>
      <c r="E43" s="197" t="s">
        <v>43</v>
      </c>
      <c r="F43" s="162">
        <f>'no mortgage'!E43+'additional costs mortgage'!E43*'partial 70% mortgage'!A43</f>
        <v>3269</v>
      </c>
      <c r="G43" s="162">
        <f>'no mortgage'!F43+'additional costs mortgage'!F43*'partial 70% mortgage'!A43</f>
        <v>48.8</v>
      </c>
      <c r="H43" s="162">
        <f>'no mortgage'!G43+'additional costs mortgage'!G43*'partial 70% mortgage'!A43</f>
        <v>14420</v>
      </c>
      <c r="I43" s="198">
        <f t="shared" si="57"/>
        <v>25237.8</v>
      </c>
      <c r="J43" s="162">
        <f t="shared" si="58"/>
        <v>10817.8</v>
      </c>
      <c r="K43" s="162">
        <f t="shared" si="59"/>
        <v>10769</v>
      </c>
      <c r="L43" s="202">
        <v>0.2</v>
      </c>
      <c r="M43" s="203"/>
      <c r="N43" s="307">
        <f t="shared" si="60"/>
        <v>0.10095119999999999</v>
      </c>
      <c r="O43" s="308">
        <f t="shared" si="61"/>
        <v>0.05768</v>
      </c>
      <c r="P43" s="308">
        <f t="shared" si="62"/>
        <v>0.0001952</v>
      </c>
      <c r="Q43" s="309">
        <f t="shared" si="63"/>
        <v>0.043076</v>
      </c>
      <c r="R43" s="310">
        <f t="shared" si="64"/>
        <v>0.5713651744605315</v>
      </c>
      <c r="S43" s="311">
        <f t="shared" si="65"/>
        <v>0.0019336075252201063</v>
      </c>
      <c r="T43" s="312">
        <f t="shared" si="66"/>
        <v>0.4267012180142485</v>
      </c>
      <c r="U43" s="310">
        <f t="shared" si="67"/>
        <v>0.6964434952177546</v>
      </c>
      <c r="V43" s="311"/>
      <c r="W43" s="312">
        <f t="shared" si="70"/>
        <v>0.30355650478224533</v>
      </c>
      <c r="X43" s="310"/>
      <c r="Y43" s="311"/>
      <c r="Z43" s="312">
        <f t="shared" si="71"/>
        <v>0.013076</v>
      </c>
      <c r="AA43" s="311"/>
      <c r="AB43" s="311"/>
      <c r="AC43" s="299" t="s">
        <v>3</v>
      </c>
      <c r="AD43" s="162">
        <v>500000</v>
      </c>
      <c r="AE43" s="162">
        <f aca="true" t="shared" si="84" ref="AE43:AJ43">D75</f>
        <v>20000</v>
      </c>
      <c r="AF43" s="197" t="str">
        <f t="shared" si="84"/>
        <v>n.r.</v>
      </c>
      <c r="AG43" s="162">
        <f t="shared" si="84"/>
        <v>2626.9</v>
      </c>
      <c r="AH43" s="162">
        <f t="shared" si="84"/>
        <v>1775.6</v>
      </c>
      <c r="AI43" s="162">
        <f t="shared" si="84"/>
        <v>17500</v>
      </c>
      <c r="AJ43" s="198">
        <f t="shared" si="84"/>
        <v>41902.5</v>
      </c>
      <c r="AK43" s="162"/>
      <c r="AM43" s="299"/>
      <c r="AN43" s="300"/>
      <c r="AO43" s="300"/>
      <c r="AP43" s="300"/>
      <c r="AQ43" s="300"/>
      <c r="AR43" s="300"/>
      <c r="AS43" s="300"/>
      <c r="AT43" s="201"/>
    </row>
    <row r="44" spans="1:46" ht="15.75">
      <c r="A44" s="305">
        <v>0.7</v>
      </c>
      <c r="B44" s="305"/>
      <c r="C44" s="299" t="s">
        <v>4</v>
      </c>
      <c r="D44" s="162">
        <f>'no mortgage'!C44+'additional costs mortgage'!C44*'partial 70% mortgage'!A44</f>
        <v>2000</v>
      </c>
      <c r="E44" s="162">
        <f>'no mortgage'!D44+'additional costs mortgage'!D44*'partial 70% mortgage'!A44</f>
        <v>640</v>
      </c>
      <c r="F44" s="162">
        <f>'no mortgage'!E44+'additional costs mortgage'!E44*'partial 70% mortgage'!A44</f>
        <v>2000</v>
      </c>
      <c r="G44" s="162">
        <f>'no mortgage'!F44+'additional costs mortgage'!F44*'partial 70% mortgage'!A44</f>
        <v>375</v>
      </c>
      <c r="H44" s="162">
        <f>'no mortgage'!G44+'additional costs mortgage'!G44*'partial 70% mortgage'!A44</f>
        <v>10000</v>
      </c>
      <c r="I44" s="198">
        <f t="shared" si="57"/>
        <v>15015</v>
      </c>
      <c r="J44" s="162">
        <f t="shared" si="58"/>
        <v>5015</v>
      </c>
      <c r="K44" s="162">
        <f t="shared" si="59"/>
        <v>4640</v>
      </c>
      <c r="L44" s="202">
        <v>0.21</v>
      </c>
      <c r="M44" s="203"/>
      <c r="N44" s="307">
        <f t="shared" si="60"/>
        <v>0.06006</v>
      </c>
      <c r="O44" s="308">
        <f t="shared" si="61"/>
        <v>0.04</v>
      </c>
      <c r="P44" s="308">
        <f t="shared" si="62"/>
        <v>0.0015</v>
      </c>
      <c r="Q44" s="309">
        <f t="shared" si="63"/>
        <v>0.01856</v>
      </c>
      <c r="R44" s="310">
        <f t="shared" si="64"/>
        <v>0.666000666000666</v>
      </c>
      <c r="S44" s="311">
        <f t="shared" si="65"/>
        <v>0.024975024975024976</v>
      </c>
      <c r="T44" s="312">
        <f t="shared" si="66"/>
        <v>0.30902430902430905</v>
      </c>
      <c r="U44" s="310">
        <f t="shared" si="67"/>
        <v>0.43103448275862066</v>
      </c>
      <c r="V44" s="311">
        <f>E44/K44</f>
        <v>0.13793103448275862</v>
      </c>
      <c r="W44" s="312">
        <f t="shared" si="70"/>
        <v>0.43103448275862066</v>
      </c>
      <c r="X44" s="310">
        <f>D44/250000</f>
        <v>0.008</v>
      </c>
      <c r="Y44" s="311">
        <f>E44/250000</f>
        <v>0.00256</v>
      </c>
      <c r="Z44" s="312">
        <f t="shared" si="71"/>
        <v>0.008</v>
      </c>
      <c r="AA44" s="311"/>
      <c r="AB44" s="311"/>
      <c r="AC44" s="316" t="s">
        <v>3</v>
      </c>
      <c r="AD44" s="182" t="s">
        <v>58</v>
      </c>
      <c r="AE44" s="206">
        <f aca="true" t="shared" si="85" ref="AE44:AJ44">D104</f>
        <v>5234.5</v>
      </c>
      <c r="AF44" s="207" t="str">
        <f t="shared" si="85"/>
        <v>n.r.</v>
      </c>
      <c r="AG44" s="206">
        <f t="shared" si="85"/>
        <v>885.925175</v>
      </c>
      <c r="AH44" s="206">
        <f t="shared" si="85"/>
        <v>556.849125</v>
      </c>
      <c r="AI44" s="206">
        <f t="shared" si="85"/>
        <v>4580.1875</v>
      </c>
      <c r="AJ44" s="208">
        <f t="shared" si="85"/>
        <v>11257.461800000001</v>
      </c>
      <c r="AK44" s="162"/>
      <c r="AM44" s="299" t="s">
        <v>7</v>
      </c>
      <c r="AN44" s="162">
        <v>100000</v>
      </c>
      <c r="AO44" s="162">
        <f aca="true" t="shared" si="86" ref="AO44:AT44">D20</f>
        <v>2000</v>
      </c>
      <c r="AP44" s="162">
        <f t="shared" si="86"/>
        <v>175</v>
      </c>
      <c r="AQ44" s="162">
        <f t="shared" si="86"/>
        <v>677</v>
      </c>
      <c r="AR44" s="162">
        <f t="shared" si="86"/>
        <v>50</v>
      </c>
      <c r="AS44" s="162">
        <f t="shared" si="86"/>
        <v>11417.5</v>
      </c>
      <c r="AT44" s="194">
        <f t="shared" si="86"/>
        <v>14319.5</v>
      </c>
    </row>
    <row r="45" spans="1:46" ht="15.75">
      <c r="A45" s="305">
        <v>0.7</v>
      </c>
      <c r="B45" s="305"/>
      <c r="C45" s="299" t="s">
        <v>5</v>
      </c>
      <c r="D45" s="162">
        <f>'no mortgage'!C45+'additional costs mortgage'!C45*'partial 70% mortgage'!A45</f>
        <v>15000</v>
      </c>
      <c r="E45" s="197" t="s">
        <v>43</v>
      </c>
      <c r="F45" s="162">
        <f>'no mortgage'!E45+'additional costs mortgage'!E45*'partial 70% mortgage'!A45</f>
        <v>3245</v>
      </c>
      <c r="G45" s="162">
        <f>'no mortgage'!F45+'additional costs mortgage'!F45*'partial 70% mortgage'!A45</f>
        <v>139.297</v>
      </c>
      <c r="H45" s="162">
        <f>'no mortgage'!G45+'additional costs mortgage'!G45*'partial 70% mortgage'!A45</f>
        <v>4265.6</v>
      </c>
      <c r="I45" s="198">
        <f t="shared" si="57"/>
        <v>22649.896999999997</v>
      </c>
      <c r="J45" s="162">
        <f t="shared" si="58"/>
        <v>18384.297</v>
      </c>
      <c r="K45" s="162">
        <f t="shared" si="59"/>
        <v>18245</v>
      </c>
      <c r="L45" s="202">
        <v>0.2</v>
      </c>
      <c r="M45" s="203"/>
      <c r="N45" s="307">
        <f t="shared" si="60"/>
        <v>0.090599588</v>
      </c>
      <c r="O45" s="308">
        <f t="shared" si="61"/>
        <v>0.017062400000000002</v>
      </c>
      <c r="P45" s="308">
        <f t="shared" si="62"/>
        <v>0.000557188</v>
      </c>
      <c r="Q45" s="309">
        <f t="shared" si="63"/>
        <v>0.07298</v>
      </c>
      <c r="R45" s="310">
        <f t="shared" si="64"/>
        <v>0.1883275672291137</v>
      </c>
      <c r="S45" s="311">
        <f t="shared" si="65"/>
        <v>0.006150005891859023</v>
      </c>
      <c r="T45" s="312">
        <f t="shared" si="66"/>
        <v>0.8055224268790274</v>
      </c>
      <c r="U45" s="310">
        <f t="shared" si="67"/>
        <v>0.822143052891203</v>
      </c>
      <c r="V45" s="311"/>
      <c r="W45" s="312">
        <f t="shared" si="70"/>
        <v>0.17785694710879693</v>
      </c>
      <c r="X45" s="310">
        <f aca="true" t="shared" si="87" ref="X45:X53">D45/250000</f>
        <v>0.06</v>
      </c>
      <c r="Y45" s="311"/>
      <c r="Z45" s="312">
        <f t="shared" si="71"/>
        <v>0.01298</v>
      </c>
      <c r="AA45" s="311"/>
      <c r="AB45" s="311"/>
      <c r="AC45" s="299"/>
      <c r="AD45" s="300"/>
      <c r="AE45" s="300"/>
      <c r="AF45" s="300"/>
      <c r="AG45" s="300"/>
      <c r="AH45" s="300"/>
      <c r="AI45" s="300"/>
      <c r="AJ45" s="314"/>
      <c r="AK45" s="162"/>
      <c r="AM45" s="299" t="s">
        <v>7</v>
      </c>
      <c r="AN45" s="162">
        <v>250000</v>
      </c>
      <c r="AO45" s="162">
        <f aca="true" t="shared" si="88" ref="AO45:AT45">D47</f>
        <v>3750</v>
      </c>
      <c r="AP45" s="162">
        <f t="shared" si="88"/>
        <v>175</v>
      </c>
      <c r="AQ45" s="162">
        <f t="shared" si="88"/>
        <v>1430</v>
      </c>
      <c r="AR45" s="162">
        <f t="shared" si="88"/>
        <v>50</v>
      </c>
      <c r="AS45" s="162">
        <f t="shared" si="88"/>
        <v>28543.4</v>
      </c>
      <c r="AT45" s="194">
        <f t="shared" si="88"/>
        <v>33948.4</v>
      </c>
    </row>
    <row r="46" spans="1:46" ht="15.75">
      <c r="A46" s="305">
        <v>0.7</v>
      </c>
      <c r="B46" s="305"/>
      <c r="C46" s="299" t="s">
        <v>6</v>
      </c>
      <c r="D46" s="162">
        <f>'no mortgage'!C46+'additional costs mortgage'!C46*'partial 70% mortgage'!A46</f>
        <v>4625</v>
      </c>
      <c r="E46" s="197" t="s">
        <v>43</v>
      </c>
      <c r="F46" s="162">
        <f>'no mortgage'!E46+'additional costs mortgage'!E46*'partial 70% mortgage'!A46</f>
        <v>1152.9</v>
      </c>
      <c r="G46" s="162">
        <f>'no mortgage'!F46+'additional costs mortgage'!F46*'partial 70% mortgage'!A46</f>
        <v>164.1</v>
      </c>
      <c r="H46" s="162">
        <f>'no mortgage'!G46+'additional costs mortgage'!G46*'partial 70% mortgage'!A46</f>
        <v>15000</v>
      </c>
      <c r="I46" s="198">
        <f t="shared" si="57"/>
        <v>20942</v>
      </c>
      <c r="J46" s="162">
        <f t="shared" si="58"/>
        <v>5942</v>
      </c>
      <c r="K46" s="162">
        <f t="shared" si="59"/>
        <v>5777.9</v>
      </c>
      <c r="L46" s="202">
        <v>0.19</v>
      </c>
      <c r="M46" s="203"/>
      <c r="N46" s="307">
        <f t="shared" si="60"/>
        <v>0.083768</v>
      </c>
      <c r="O46" s="308">
        <f t="shared" si="61"/>
        <v>0.06</v>
      </c>
      <c r="P46" s="308">
        <f t="shared" si="62"/>
        <v>0.0006564</v>
      </c>
      <c r="Q46" s="309">
        <f t="shared" si="63"/>
        <v>0.0231116</v>
      </c>
      <c r="R46" s="310">
        <f t="shared" si="64"/>
        <v>0.7162639671473594</v>
      </c>
      <c r="S46" s="311">
        <f t="shared" si="65"/>
        <v>0.007835927800592111</v>
      </c>
      <c r="T46" s="312">
        <f t="shared" si="66"/>
        <v>0.2759001050520485</v>
      </c>
      <c r="U46" s="310">
        <f t="shared" si="67"/>
        <v>0.8004638363419236</v>
      </c>
      <c r="V46" s="311"/>
      <c r="W46" s="312">
        <f t="shared" si="70"/>
        <v>0.1995361636580765</v>
      </c>
      <c r="X46" s="310">
        <f t="shared" si="87"/>
        <v>0.0185</v>
      </c>
      <c r="Y46" s="311"/>
      <c r="Z46" s="312">
        <f t="shared" si="71"/>
        <v>0.0046116</v>
      </c>
      <c r="AA46" s="311"/>
      <c r="AB46" s="311"/>
      <c r="AC46" s="196" t="s">
        <v>15</v>
      </c>
      <c r="AD46" s="162">
        <v>100000</v>
      </c>
      <c r="AE46" s="162">
        <f aca="true" t="shared" si="89" ref="AE46:AJ46">D15</f>
        <v>4000</v>
      </c>
      <c r="AF46" s="162">
        <f t="shared" si="89"/>
        <v>500</v>
      </c>
      <c r="AG46" s="162">
        <f t="shared" si="89"/>
        <v>3190</v>
      </c>
      <c r="AH46" s="162">
        <f t="shared" si="89"/>
        <v>1043</v>
      </c>
      <c r="AI46" s="162">
        <f t="shared" si="89"/>
        <v>11020</v>
      </c>
      <c r="AJ46" s="198">
        <f t="shared" si="89"/>
        <v>19753</v>
      </c>
      <c r="AK46" s="162"/>
      <c r="AM46" s="299"/>
      <c r="AN46" s="300"/>
      <c r="AO46" s="300"/>
      <c r="AP46" s="300"/>
      <c r="AQ46" s="300"/>
      <c r="AR46" s="300"/>
      <c r="AS46" s="300"/>
      <c r="AT46" s="201"/>
    </row>
    <row r="47" spans="1:46" ht="15.75">
      <c r="A47" s="305">
        <v>0.7</v>
      </c>
      <c r="B47" s="305"/>
      <c r="C47" s="299" t="s">
        <v>7</v>
      </c>
      <c r="D47" s="162">
        <f>'no mortgage'!C47+'additional costs mortgage'!C47*'partial 70% mortgage'!A47</f>
        <v>3750</v>
      </c>
      <c r="E47" s="162">
        <f>'additional costs mortgage'!D47*'partial 70% mortgage'!A47</f>
        <v>175</v>
      </c>
      <c r="F47" s="162">
        <f>'no mortgage'!E47+'additional costs mortgage'!E47*'partial 70% mortgage'!A47</f>
        <v>1430</v>
      </c>
      <c r="G47" s="162">
        <f>'no mortgage'!F47+'additional costs mortgage'!F47*'partial 70% mortgage'!A47</f>
        <v>50</v>
      </c>
      <c r="H47" s="162">
        <f>'no mortgage'!G47+'additional costs mortgage'!G47*'partial 70% mortgage'!A47</f>
        <v>28543.4</v>
      </c>
      <c r="I47" s="198">
        <f t="shared" si="57"/>
        <v>33948.4</v>
      </c>
      <c r="J47" s="162">
        <f t="shared" si="58"/>
        <v>5405</v>
      </c>
      <c r="K47" s="162">
        <f t="shared" si="59"/>
        <v>5355</v>
      </c>
      <c r="L47" s="202">
        <v>0.22</v>
      </c>
      <c r="M47" s="203"/>
      <c r="N47" s="307">
        <f t="shared" si="60"/>
        <v>0.13579360000000001</v>
      </c>
      <c r="O47" s="308">
        <f t="shared" si="61"/>
        <v>0.1141736</v>
      </c>
      <c r="P47" s="308">
        <f t="shared" si="62"/>
        <v>0.0002</v>
      </c>
      <c r="Q47" s="309">
        <f t="shared" si="63"/>
        <v>0.02142</v>
      </c>
      <c r="R47" s="310">
        <f t="shared" si="64"/>
        <v>0.8407877838130811</v>
      </c>
      <c r="S47" s="311">
        <f t="shared" si="65"/>
        <v>0.0014728234614886121</v>
      </c>
      <c r="T47" s="312">
        <f t="shared" si="66"/>
        <v>0.15773939272543036</v>
      </c>
      <c r="U47" s="310">
        <f t="shared" si="67"/>
        <v>0.7002801120448179</v>
      </c>
      <c r="V47" s="311">
        <f>E47/K47</f>
        <v>0.032679738562091505</v>
      </c>
      <c r="W47" s="312">
        <f t="shared" si="70"/>
        <v>0.26704014939309056</v>
      </c>
      <c r="X47" s="310">
        <f t="shared" si="87"/>
        <v>0.015</v>
      </c>
      <c r="Y47" s="311">
        <f>E47/250000</f>
        <v>0.0007</v>
      </c>
      <c r="Z47" s="312">
        <f t="shared" si="71"/>
        <v>0.00572</v>
      </c>
      <c r="AA47" s="311"/>
      <c r="AB47" s="311"/>
      <c r="AC47" s="299" t="s">
        <v>15</v>
      </c>
      <c r="AD47" s="162">
        <v>250000</v>
      </c>
      <c r="AE47" s="162">
        <f aca="true" t="shared" si="90" ref="AE47:AJ47">D42</f>
        <v>10000</v>
      </c>
      <c r="AF47" s="162">
        <f t="shared" si="90"/>
        <v>500</v>
      </c>
      <c r="AG47" s="162">
        <f t="shared" si="90"/>
        <v>6490</v>
      </c>
      <c r="AH47" s="162">
        <f t="shared" si="90"/>
        <v>2565</v>
      </c>
      <c r="AI47" s="162">
        <f t="shared" si="90"/>
        <v>28000</v>
      </c>
      <c r="AJ47" s="198">
        <f t="shared" si="90"/>
        <v>47555</v>
      </c>
      <c r="AK47" s="162"/>
      <c r="AM47" s="315" t="s">
        <v>8</v>
      </c>
      <c r="AN47" s="162">
        <v>100000</v>
      </c>
      <c r="AO47" s="162">
        <f aca="true" t="shared" si="91" ref="AO47:AT47">D22</f>
        <v>1000</v>
      </c>
      <c r="AP47" s="162">
        <f t="shared" si="91"/>
        <v>378</v>
      </c>
      <c r="AQ47" s="162">
        <f t="shared" si="91"/>
        <v>1437.9</v>
      </c>
      <c r="AR47" s="162">
        <f t="shared" si="91"/>
        <v>251.1</v>
      </c>
      <c r="AS47" s="162">
        <f t="shared" si="91"/>
        <v>0</v>
      </c>
      <c r="AT47" s="194">
        <f t="shared" si="91"/>
        <v>3067</v>
      </c>
    </row>
    <row r="48" spans="1:46" ht="15.75">
      <c r="A48" s="305">
        <v>0.7</v>
      </c>
      <c r="B48" s="305"/>
      <c r="C48" s="299" t="s">
        <v>189</v>
      </c>
      <c r="D48" s="162">
        <f>'no mortgage'!C48+'additional costs mortgage'!C48*'partial 70% mortgage'!A48</f>
        <v>9375</v>
      </c>
      <c r="E48" s="162">
        <f>'additional costs mortgage'!D48*'partial 70% mortgage'!A48</f>
        <v>192.5</v>
      </c>
      <c r="F48" s="162">
        <f>'no mortgage'!E48+'additional costs mortgage'!E48*'partial 70% mortgage'!A48</f>
        <v>616.0350000000001</v>
      </c>
      <c r="G48" s="162">
        <f>'no mortgage'!F48+'additional costs mortgage'!F48*'partial 70% mortgage'!A48</f>
        <v>219.5</v>
      </c>
      <c r="H48" s="162">
        <f>'no mortgage'!G48+'additional costs mortgage'!G48*'partial 70% mortgage'!A48</f>
        <v>3050</v>
      </c>
      <c r="I48" s="198">
        <f>SUM(D48:H48)</f>
        <v>13453.035</v>
      </c>
      <c r="J48" s="162">
        <f>SUM(D48:G48)</f>
        <v>10403.035</v>
      </c>
      <c r="K48" s="162">
        <f>SUM(D48:F48)</f>
        <v>10183.535</v>
      </c>
      <c r="L48" s="202">
        <v>0.21</v>
      </c>
      <c r="M48" s="203"/>
      <c r="N48" s="307">
        <f>I48/250000</f>
        <v>0.05381214</v>
      </c>
      <c r="O48" s="308">
        <f>H48/250000</f>
        <v>0.0122</v>
      </c>
      <c r="P48" s="308">
        <f>G48/250000</f>
        <v>0.000878</v>
      </c>
      <c r="Q48" s="309">
        <f>K48/250000</f>
        <v>0.04073414</v>
      </c>
      <c r="R48" s="310">
        <f>H48/I48</f>
        <v>0.22671464097134958</v>
      </c>
      <c r="S48" s="311">
        <f>G48/I48</f>
        <v>0.016316020883020078</v>
      </c>
      <c r="T48" s="312">
        <f>K48/I48</f>
        <v>0.7569693381456304</v>
      </c>
      <c r="U48" s="310">
        <f>D48/K48</f>
        <v>0.9206036999921933</v>
      </c>
      <c r="V48" s="311">
        <f>E48/K48</f>
        <v>0.018903062639839704</v>
      </c>
      <c r="W48" s="312">
        <f>F48/K48</f>
        <v>0.06049323736796702</v>
      </c>
      <c r="X48" s="310">
        <f>D48/250000</f>
        <v>0.0375</v>
      </c>
      <c r="Y48" s="311">
        <f>E48/250000</f>
        <v>0.00077</v>
      </c>
      <c r="Z48" s="312">
        <f>F48/250000</f>
        <v>0.0024641400000000005</v>
      </c>
      <c r="AA48" s="311"/>
      <c r="AB48" s="311"/>
      <c r="AC48" s="299" t="s">
        <v>15</v>
      </c>
      <c r="AD48" s="162">
        <v>500000</v>
      </c>
      <c r="AE48" s="162">
        <f aca="true" t="shared" si="92" ref="AE48:AJ48">D76</f>
        <v>20000</v>
      </c>
      <c r="AF48" s="162">
        <f t="shared" si="92"/>
        <v>500</v>
      </c>
      <c r="AG48" s="162">
        <f t="shared" si="92"/>
        <v>11990</v>
      </c>
      <c r="AH48" s="162">
        <f t="shared" si="92"/>
        <v>5113</v>
      </c>
      <c r="AI48" s="162">
        <f t="shared" si="92"/>
        <v>56300</v>
      </c>
      <c r="AJ48" s="198">
        <f t="shared" si="92"/>
        <v>93903</v>
      </c>
      <c r="AK48" s="162"/>
      <c r="AM48" s="315" t="s">
        <v>8</v>
      </c>
      <c r="AN48" s="162">
        <v>250000</v>
      </c>
      <c r="AO48" s="162">
        <f aca="true" t="shared" si="93" ref="AO48:AT48">D49</f>
        <v>2500</v>
      </c>
      <c r="AP48" s="162">
        <f t="shared" si="93"/>
        <v>600</v>
      </c>
      <c r="AQ48" s="162">
        <f t="shared" si="93"/>
        <v>1735.3</v>
      </c>
      <c r="AR48" s="162">
        <f t="shared" si="93"/>
        <v>577.1</v>
      </c>
      <c r="AS48" s="162">
        <f t="shared" si="93"/>
        <v>2506</v>
      </c>
      <c r="AT48" s="194">
        <f t="shared" si="93"/>
        <v>7918.400000000001</v>
      </c>
    </row>
    <row r="49" spans="1:46" ht="15.75">
      <c r="A49" s="305">
        <v>0.7</v>
      </c>
      <c r="B49" s="305"/>
      <c r="C49" s="315" t="s">
        <v>8</v>
      </c>
      <c r="D49" s="162">
        <f>'no mortgage'!C49+'additional costs mortgage'!C49*'partial 70% mortgage'!A49</f>
        <v>2500</v>
      </c>
      <c r="E49" s="162">
        <f>'no mortgage'!D49+'additional costs mortgage'!D49*'partial 70% mortgage'!A49</f>
        <v>600</v>
      </c>
      <c r="F49" s="162">
        <f>'no mortgage'!E49+'additional costs mortgage'!E49*'partial 70% mortgage'!A49</f>
        <v>1735.3</v>
      </c>
      <c r="G49" s="162">
        <f>'no mortgage'!F49+'additional costs mortgage'!F49*'partial 70% mortgage'!A49</f>
        <v>577.1</v>
      </c>
      <c r="H49" s="162">
        <f>'no mortgage'!G49+'additional costs mortgage'!G49*'partial 70% mortgage'!A49</f>
        <v>2506</v>
      </c>
      <c r="I49" s="198">
        <f t="shared" si="57"/>
        <v>7918.400000000001</v>
      </c>
      <c r="J49" s="162">
        <f t="shared" si="58"/>
        <v>5412.400000000001</v>
      </c>
      <c r="K49" s="162">
        <f t="shared" si="59"/>
        <v>4835.3</v>
      </c>
      <c r="L49" s="202">
        <v>0.175</v>
      </c>
      <c r="M49" s="203"/>
      <c r="N49" s="307">
        <f t="shared" si="60"/>
        <v>0.0316736</v>
      </c>
      <c r="O49" s="308">
        <f t="shared" si="61"/>
        <v>0.010024</v>
      </c>
      <c r="P49" s="308">
        <f t="shared" si="62"/>
        <v>0.0023084</v>
      </c>
      <c r="Q49" s="309">
        <f t="shared" si="63"/>
        <v>0.0193412</v>
      </c>
      <c r="R49" s="310">
        <f t="shared" si="64"/>
        <v>0.31647807637906644</v>
      </c>
      <c r="S49" s="311">
        <f t="shared" si="65"/>
        <v>0.07288088502727824</v>
      </c>
      <c r="T49" s="312">
        <f t="shared" si="66"/>
        <v>0.6106410385936553</v>
      </c>
      <c r="U49" s="310">
        <f t="shared" si="67"/>
        <v>0.5170310011788307</v>
      </c>
      <c r="V49" s="311">
        <f>E49/K49</f>
        <v>0.12408744028291936</v>
      </c>
      <c r="W49" s="312">
        <f t="shared" si="70"/>
        <v>0.35888155853824993</v>
      </c>
      <c r="X49" s="310">
        <f t="shared" si="87"/>
        <v>0.01</v>
      </c>
      <c r="Y49" s="311">
        <f>E49/250000</f>
        <v>0.0024</v>
      </c>
      <c r="Z49" s="312">
        <f t="shared" si="71"/>
        <v>0.0069412</v>
      </c>
      <c r="AA49" s="311"/>
      <c r="AB49" s="311"/>
      <c r="AC49" s="316" t="s">
        <v>15</v>
      </c>
      <c r="AD49" s="182" t="s">
        <v>58</v>
      </c>
      <c r="AE49" s="206">
        <f aca="true" t="shared" si="94" ref="AE49:AJ49">D105</f>
        <v>5200</v>
      </c>
      <c r="AF49" s="206">
        <f t="shared" si="94"/>
        <v>500</v>
      </c>
      <c r="AG49" s="206">
        <f t="shared" si="94"/>
        <v>3850</v>
      </c>
      <c r="AH49" s="206">
        <f t="shared" si="94"/>
        <v>1322.75</v>
      </c>
      <c r="AI49" s="206">
        <f t="shared" si="94"/>
        <v>14729</v>
      </c>
      <c r="AJ49" s="208">
        <f t="shared" si="94"/>
        <v>25601.75</v>
      </c>
      <c r="AK49" s="162"/>
      <c r="AM49" s="299"/>
      <c r="AN49" s="300"/>
      <c r="AO49" s="300"/>
      <c r="AP49" s="300"/>
      <c r="AQ49" s="300"/>
      <c r="AR49" s="300"/>
      <c r="AS49" s="300"/>
      <c r="AT49" s="201"/>
    </row>
    <row r="50" spans="1:46" ht="15.75">
      <c r="A50" s="305">
        <v>0.7</v>
      </c>
      <c r="B50" s="305"/>
      <c r="C50" s="315" t="s">
        <v>188</v>
      </c>
      <c r="D50" s="162">
        <f>'no mortgage'!C50+'additional costs mortgage'!C50*'partial 70% mortgage'!A50</f>
        <v>2150</v>
      </c>
      <c r="E50" s="162">
        <f>'no mortgage'!D50+'additional costs mortgage'!D50*'partial 70% mortgage'!A50</f>
        <v>230</v>
      </c>
      <c r="F50" s="162">
        <f>'no mortgage'!E50+'additional costs mortgage'!E50*'partial 70% mortgage'!A50</f>
        <v>420</v>
      </c>
      <c r="G50" s="162">
        <f>'no mortgage'!F50+'additional costs mortgage'!F50*'partial 70% mortgage'!A50</f>
        <v>60</v>
      </c>
      <c r="H50" s="162">
        <f>'no mortgage'!G50+'additional costs mortgage'!G50*'partial 70% mortgage'!A50</f>
        <v>0</v>
      </c>
      <c r="I50" s="198">
        <f>SUM(D50:H50)</f>
        <v>2860</v>
      </c>
      <c r="J50" s="162">
        <f>SUM(D50:G50)</f>
        <v>2860</v>
      </c>
      <c r="K50" s="162">
        <f>SUM(D50:F50)</f>
        <v>2800</v>
      </c>
      <c r="L50" s="202">
        <v>0.19</v>
      </c>
      <c r="M50" s="203"/>
      <c r="N50" s="307">
        <f>I50/250000</f>
        <v>0.01144</v>
      </c>
      <c r="O50" s="308">
        <f>H50/250000</f>
        <v>0</v>
      </c>
      <c r="P50" s="308">
        <f>G50/250000</f>
        <v>0.00024</v>
      </c>
      <c r="Q50" s="309">
        <f>K50/250000</f>
        <v>0.0112</v>
      </c>
      <c r="R50" s="310">
        <f>H50/I50</f>
        <v>0</v>
      </c>
      <c r="S50" s="311">
        <f>G50/I50</f>
        <v>0.02097902097902098</v>
      </c>
      <c r="T50" s="312">
        <f>K50/I50</f>
        <v>0.9790209790209791</v>
      </c>
      <c r="U50" s="310">
        <f>D50/K50</f>
        <v>0.7678571428571429</v>
      </c>
      <c r="V50" s="311">
        <f>E50/K50</f>
        <v>0.08214285714285714</v>
      </c>
      <c r="W50" s="312">
        <f>F50/K50</f>
        <v>0.15</v>
      </c>
      <c r="X50" s="310">
        <f>D50/250000</f>
        <v>0.0086</v>
      </c>
      <c r="Y50" s="311">
        <f>E50/250000</f>
        <v>0.00092</v>
      </c>
      <c r="Z50" s="312">
        <f>F50/250000</f>
        <v>0.00168</v>
      </c>
      <c r="AA50" s="311"/>
      <c r="AB50" s="311"/>
      <c r="AC50" s="299"/>
      <c r="AD50" s="300"/>
      <c r="AE50" s="300"/>
      <c r="AF50" s="300"/>
      <c r="AG50" s="300"/>
      <c r="AH50" s="300"/>
      <c r="AI50" s="300"/>
      <c r="AJ50" s="314"/>
      <c r="AK50" s="162"/>
      <c r="AM50" s="299" t="s">
        <v>16</v>
      </c>
      <c r="AN50" s="162">
        <v>100000</v>
      </c>
      <c r="AO50" s="162">
        <f aca="true" t="shared" si="95" ref="AO50:AT50">D24</f>
        <v>4000</v>
      </c>
      <c r="AP50" s="162" t="str">
        <f t="shared" si="95"/>
        <v>n.r.</v>
      </c>
      <c r="AQ50" s="162">
        <f t="shared" si="95"/>
        <v>810</v>
      </c>
      <c r="AR50" s="162">
        <f t="shared" si="95"/>
        <v>123</v>
      </c>
      <c r="AS50" s="162">
        <f t="shared" si="95"/>
        <v>2000</v>
      </c>
      <c r="AT50" s="194">
        <f t="shared" si="95"/>
        <v>6933</v>
      </c>
    </row>
    <row r="51" spans="1:46" ht="15.75">
      <c r="A51" s="305">
        <v>0.7</v>
      </c>
      <c r="B51" s="305"/>
      <c r="C51" s="299" t="s">
        <v>16</v>
      </c>
      <c r="D51" s="162">
        <f>'no mortgage'!C51+'additional costs mortgage'!C51*'partial 70% mortgage'!A51</f>
        <v>10000</v>
      </c>
      <c r="E51" s="197" t="s">
        <v>43</v>
      </c>
      <c r="F51" s="162">
        <f>'no mortgage'!E51+'additional costs mortgage'!E51*'partial 70% mortgage'!A51</f>
        <v>1203.75</v>
      </c>
      <c r="G51" s="162">
        <f>'no mortgage'!F51+'additional costs mortgage'!F51*'partial 70% mortgage'!A51</f>
        <v>123</v>
      </c>
      <c r="H51" s="162">
        <f>'no mortgage'!G51+'additional costs mortgage'!G51*'partial 70% mortgage'!A51</f>
        <v>5000</v>
      </c>
      <c r="I51" s="198">
        <f t="shared" si="57"/>
        <v>16326.75</v>
      </c>
      <c r="J51" s="162">
        <f t="shared" si="58"/>
        <v>11326.75</v>
      </c>
      <c r="K51" s="162">
        <f t="shared" si="59"/>
        <v>11203.75</v>
      </c>
      <c r="L51" s="202">
        <v>0.19</v>
      </c>
      <c r="M51" s="203"/>
      <c r="N51" s="307">
        <f t="shared" si="60"/>
        <v>0.065307</v>
      </c>
      <c r="O51" s="308">
        <f t="shared" si="61"/>
        <v>0.02</v>
      </c>
      <c r="P51" s="308">
        <f t="shared" si="62"/>
        <v>0.000492</v>
      </c>
      <c r="Q51" s="309">
        <f t="shared" si="63"/>
        <v>0.044815</v>
      </c>
      <c r="R51" s="310">
        <f t="shared" si="64"/>
        <v>0.30624588482092274</v>
      </c>
      <c r="S51" s="311">
        <f t="shared" si="65"/>
        <v>0.007533648766594699</v>
      </c>
      <c r="T51" s="312">
        <f t="shared" si="66"/>
        <v>0.6862204664124826</v>
      </c>
      <c r="U51" s="310">
        <f t="shared" si="67"/>
        <v>0.8925582952136561</v>
      </c>
      <c r="V51" s="311"/>
      <c r="W51" s="312">
        <f t="shared" si="70"/>
        <v>0.10744170478634386</v>
      </c>
      <c r="X51" s="310">
        <f t="shared" si="87"/>
        <v>0.04</v>
      </c>
      <c r="Y51" s="311"/>
      <c r="Z51" s="312">
        <f t="shared" si="71"/>
        <v>0.004815</v>
      </c>
      <c r="AA51" s="311"/>
      <c r="AB51" s="311"/>
      <c r="AC51" s="196" t="s">
        <v>19</v>
      </c>
      <c r="AD51" s="162">
        <v>100000</v>
      </c>
      <c r="AE51" s="162">
        <f aca="true" t="shared" si="96" ref="AE51:AJ51">D16</f>
        <v>4000</v>
      </c>
      <c r="AF51" s="197" t="str">
        <f t="shared" si="96"/>
        <v>n.r.</v>
      </c>
      <c r="AG51" s="162">
        <f t="shared" si="96"/>
        <v>1728</v>
      </c>
      <c r="AH51" s="162">
        <f t="shared" si="96"/>
        <v>48.8</v>
      </c>
      <c r="AI51" s="162">
        <f t="shared" si="96"/>
        <v>5420</v>
      </c>
      <c r="AJ51" s="198">
        <f t="shared" si="96"/>
        <v>11196.8</v>
      </c>
      <c r="AK51" s="162"/>
      <c r="AM51" s="299" t="s">
        <v>16</v>
      </c>
      <c r="AN51" s="162">
        <v>250000</v>
      </c>
      <c r="AO51" s="162">
        <f aca="true" t="shared" si="97" ref="AO51:AT51">D51</f>
        <v>10000</v>
      </c>
      <c r="AP51" s="162" t="str">
        <f t="shared" si="97"/>
        <v>n.r.</v>
      </c>
      <c r="AQ51" s="162">
        <f t="shared" si="97"/>
        <v>1203.75</v>
      </c>
      <c r="AR51" s="162">
        <f t="shared" si="97"/>
        <v>123</v>
      </c>
      <c r="AS51" s="162">
        <f t="shared" si="97"/>
        <v>5000</v>
      </c>
      <c r="AT51" s="194">
        <f t="shared" si="97"/>
        <v>16326.75</v>
      </c>
    </row>
    <row r="52" spans="1:46" ht="15.75">
      <c r="A52" s="305">
        <v>0.7</v>
      </c>
      <c r="B52" s="305"/>
      <c r="C52" s="299" t="s">
        <v>9</v>
      </c>
      <c r="D52" s="162">
        <f>'no mortgage'!C52+'additional costs mortgage'!C52*'partial 70% mortgage'!A52</f>
        <v>15000</v>
      </c>
      <c r="E52" s="162">
        <f>'additional costs mortgage'!D52*'partial 70% mortgage'!A52</f>
        <v>141.39999999999998</v>
      </c>
      <c r="F52" s="162">
        <f>'no mortgage'!E52+'additional costs mortgage'!E52*'partial 70% mortgage'!A52</f>
        <v>1194.3</v>
      </c>
      <c r="G52" s="162">
        <f>'no mortgage'!F52+'additional costs mortgage'!F52*'partial 70% mortgage'!A52</f>
        <v>301.4</v>
      </c>
      <c r="H52" s="162">
        <f>'no mortgage'!G52+'additional costs mortgage'!G52*'partial 70% mortgage'!A52</f>
        <v>20475.000000000004</v>
      </c>
      <c r="I52" s="198">
        <f t="shared" si="57"/>
        <v>37112.100000000006</v>
      </c>
      <c r="J52" s="162">
        <f t="shared" si="58"/>
        <v>16637.1</v>
      </c>
      <c r="K52" s="162">
        <f t="shared" si="59"/>
        <v>16335.699999999999</v>
      </c>
      <c r="L52" s="202">
        <v>0.16</v>
      </c>
      <c r="M52" s="203"/>
      <c r="N52" s="307">
        <f t="shared" si="60"/>
        <v>0.14844840000000004</v>
      </c>
      <c r="O52" s="308">
        <f t="shared" si="61"/>
        <v>0.08190000000000001</v>
      </c>
      <c r="P52" s="308">
        <f t="shared" si="62"/>
        <v>0.0012055999999999998</v>
      </c>
      <c r="Q52" s="309">
        <f t="shared" si="63"/>
        <v>0.06534279999999999</v>
      </c>
      <c r="R52" s="310">
        <f t="shared" si="64"/>
        <v>0.5517068557155214</v>
      </c>
      <c r="S52" s="311">
        <f t="shared" si="65"/>
        <v>0.008121340479250701</v>
      </c>
      <c r="T52" s="312">
        <f t="shared" si="66"/>
        <v>0.44017180380522786</v>
      </c>
      <c r="U52" s="310">
        <f t="shared" si="67"/>
        <v>0.9182342966631366</v>
      </c>
      <c r="V52" s="311">
        <f>E52/K52</f>
        <v>0.0086558886365445</v>
      </c>
      <c r="W52" s="312">
        <f t="shared" si="70"/>
        <v>0.07310981470031894</v>
      </c>
      <c r="X52" s="310">
        <f t="shared" si="87"/>
        <v>0.06</v>
      </c>
      <c r="Y52" s="311">
        <f>E52/250000</f>
        <v>0.0005655999999999999</v>
      </c>
      <c r="Z52" s="312">
        <f t="shared" si="71"/>
        <v>0.0047772</v>
      </c>
      <c r="AA52" s="311"/>
      <c r="AB52" s="311"/>
      <c r="AC52" s="299" t="s">
        <v>19</v>
      </c>
      <c r="AD52" s="162">
        <v>250000</v>
      </c>
      <c r="AE52" s="162">
        <f aca="true" t="shared" si="98" ref="AE52:AJ52">D43</f>
        <v>7500</v>
      </c>
      <c r="AF52" s="197" t="str">
        <f t="shared" si="98"/>
        <v>n.r.</v>
      </c>
      <c r="AG52" s="162">
        <f t="shared" si="98"/>
        <v>3269</v>
      </c>
      <c r="AH52" s="162">
        <f t="shared" si="98"/>
        <v>48.8</v>
      </c>
      <c r="AI52" s="162">
        <f t="shared" si="98"/>
        <v>14420</v>
      </c>
      <c r="AJ52" s="198">
        <f t="shared" si="98"/>
        <v>25237.8</v>
      </c>
      <c r="AK52" s="162"/>
      <c r="AM52" s="299"/>
      <c r="AN52" s="300"/>
      <c r="AO52" s="300"/>
      <c r="AP52" s="300"/>
      <c r="AQ52" s="300"/>
      <c r="AR52" s="300"/>
      <c r="AS52" s="300"/>
      <c r="AT52" s="201"/>
    </row>
    <row r="53" spans="1:46" ht="15.75">
      <c r="A53" s="305">
        <v>0.7</v>
      </c>
      <c r="B53" s="305"/>
      <c r="C53" s="316" t="s">
        <v>10</v>
      </c>
      <c r="D53" s="206">
        <f>'no mortgage'!C53+'additional costs mortgage'!C53*'partial 70% mortgage'!A53</f>
        <v>7800</v>
      </c>
      <c r="E53" s="206">
        <f>'no mortgage'!D53+'additional costs mortgage'!D53*'partial 70% mortgage'!A53</f>
        <v>400</v>
      </c>
      <c r="F53" s="206">
        <f>'no mortgage'!E53+'additional costs mortgage'!E53*'partial 70% mortgage'!A53</f>
        <v>0</v>
      </c>
      <c r="G53" s="206">
        <f>'no mortgage'!F53+'additional costs mortgage'!F53*'partial 70% mortgage'!A53</f>
        <v>118</v>
      </c>
      <c r="H53" s="212">
        <f>'no mortgage'!G53+'additional costs mortgage'!G53*'partial 70% mortgage'!A53</f>
        <v>7250</v>
      </c>
      <c r="I53" s="208">
        <f t="shared" si="57"/>
        <v>15568</v>
      </c>
      <c r="J53" s="206">
        <f t="shared" si="58"/>
        <v>8318</v>
      </c>
      <c r="K53" s="206">
        <f t="shared" si="59"/>
        <v>8200</v>
      </c>
      <c r="L53" s="213">
        <v>0.25</v>
      </c>
      <c r="M53" s="203"/>
      <c r="N53" s="307">
        <f t="shared" si="60"/>
        <v>0.062272</v>
      </c>
      <c r="O53" s="308">
        <f t="shared" si="61"/>
        <v>0.029</v>
      </c>
      <c r="P53" s="308">
        <f t="shared" si="62"/>
        <v>0.000472</v>
      </c>
      <c r="Q53" s="309">
        <f t="shared" si="63"/>
        <v>0.0328</v>
      </c>
      <c r="R53" s="310">
        <f t="shared" si="64"/>
        <v>0.4656988694758479</v>
      </c>
      <c r="S53" s="311">
        <f t="shared" si="65"/>
        <v>0.007579650565262076</v>
      </c>
      <c r="T53" s="312">
        <f t="shared" si="66"/>
        <v>0.5267214799588901</v>
      </c>
      <c r="U53" s="310">
        <f t="shared" si="67"/>
        <v>0.9512195121951219</v>
      </c>
      <c r="V53" s="311">
        <f>E53/K53</f>
        <v>0.04878048780487805</v>
      </c>
      <c r="W53" s="312">
        <f t="shared" si="70"/>
        <v>0</v>
      </c>
      <c r="X53" s="209">
        <f t="shared" si="87"/>
        <v>0.0312</v>
      </c>
      <c r="Y53" s="311">
        <f>E53/250000</f>
        <v>0.0016</v>
      </c>
      <c r="Z53" s="210">
        <f>F53/250000</f>
        <v>0</v>
      </c>
      <c r="AA53" s="211"/>
      <c r="AB53" s="211"/>
      <c r="AC53" s="299" t="s">
        <v>19</v>
      </c>
      <c r="AD53" s="162">
        <v>500000</v>
      </c>
      <c r="AE53" s="162">
        <f aca="true" t="shared" si="99" ref="AE53:AJ53">D77</f>
        <v>15000</v>
      </c>
      <c r="AF53" s="197" t="str">
        <f t="shared" si="99"/>
        <v>n.r.</v>
      </c>
      <c r="AG53" s="162">
        <f t="shared" si="99"/>
        <v>4645</v>
      </c>
      <c r="AH53" s="162">
        <f t="shared" si="99"/>
        <v>48.8</v>
      </c>
      <c r="AI53" s="162">
        <f t="shared" si="99"/>
        <v>29420</v>
      </c>
      <c r="AJ53" s="198">
        <f t="shared" si="99"/>
        <v>49113.8</v>
      </c>
      <c r="AK53" s="162"/>
      <c r="AM53" s="299" t="s">
        <v>9</v>
      </c>
      <c r="AN53" s="162">
        <v>100000</v>
      </c>
      <c r="AO53" s="162">
        <f aca="true" t="shared" si="100" ref="AO53:AT53">D25</f>
        <v>6000</v>
      </c>
      <c r="AP53" s="162">
        <f t="shared" si="100"/>
        <v>91</v>
      </c>
      <c r="AQ53" s="162">
        <f t="shared" si="100"/>
        <v>891.3</v>
      </c>
      <c r="AR53" s="162">
        <f t="shared" si="100"/>
        <v>241.7</v>
      </c>
      <c r="AS53" s="162">
        <f t="shared" si="100"/>
        <v>8190</v>
      </c>
      <c r="AT53" s="194">
        <f t="shared" si="100"/>
        <v>15414</v>
      </c>
    </row>
    <row r="54" spans="3:46" ht="15.75">
      <c r="C54" s="214" t="s">
        <v>27</v>
      </c>
      <c r="D54" s="215">
        <f>(SUM(D34:D53))/E55</f>
        <v>8441.925</v>
      </c>
      <c r="E54" s="215">
        <f>(SUM(E34:E53))/J55</f>
        <v>463.95384615384614</v>
      </c>
      <c r="F54" s="215">
        <f>(SUM(F34:F53))/E55</f>
        <v>1789.1256500000004</v>
      </c>
      <c r="G54" s="215">
        <f>(SUM(G34:G53))/E55</f>
        <v>827.4898499999999</v>
      </c>
      <c r="H54" s="215">
        <f>(SUM(H34:H53))/E55</f>
        <v>10592.75</v>
      </c>
      <c r="I54" s="208">
        <f>(SUM(I34:I53))/E55</f>
        <v>21952.860500000003</v>
      </c>
      <c r="J54" s="215">
        <f>(SUM(J34:J53))/E55</f>
        <v>11360.110499999999</v>
      </c>
      <c r="K54" s="215">
        <f>(SUM(K34:K53))/E55</f>
        <v>10532.62065</v>
      </c>
      <c r="L54" s="318"/>
      <c r="M54" s="216" t="s">
        <v>27</v>
      </c>
      <c r="N54" s="219">
        <f>(SUM(N34:N53))/E55</f>
        <v>0.08781144199999999</v>
      </c>
      <c r="O54" s="218">
        <f>(SUM(O34:O53))/E55</f>
        <v>0.042371000000000006</v>
      </c>
      <c r="P54" s="218">
        <f>(SUM(P34:P53))/E55</f>
        <v>0.0033099594000000005</v>
      </c>
      <c r="Q54" s="218">
        <f>(SUM(Q34:Q53))/E55</f>
        <v>0.042130482600000005</v>
      </c>
      <c r="R54" s="219">
        <f>(SUM(R34:R53))/E55</f>
        <v>0.40336210737751327</v>
      </c>
      <c r="S54" s="218">
        <f>(SUM(S34:S53))/E55</f>
        <v>0.040471263771402144</v>
      </c>
      <c r="T54" s="218">
        <f>(SUM(T34:T53))/E55</f>
        <v>0.5561666288510845</v>
      </c>
      <c r="U54" s="219">
        <f>(SUM(U34:U53))/E55</f>
        <v>0.7758900740109793</v>
      </c>
      <c r="V54" s="218">
        <f>(SUM(V34:V53))/E55</f>
        <v>0.04001797406277122</v>
      </c>
      <c r="W54" s="218">
        <f>(SUM(W34:W53))/E55</f>
        <v>0.18252945192624942</v>
      </c>
      <c r="X54" s="219">
        <f>(SUM(X34:X53))/E55</f>
        <v>0.0322677</v>
      </c>
      <c r="Y54" s="218">
        <f>(SUM(Y34:Y53))/J55</f>
        <v>0.0018558153846153847</v>
      </c>
      <c r="Z54" s="220">
        <f>(SUM(Z34:Z53))/E55</f>
        <v>0.007156502600000001</v>
      </c>
      <c r="AA54" s="221"/>
      <c r="AB54" s="221"/>
      <c r="AC54" s="316" t="s">
        <v>19</v>
      </c>
      <c r="AD54" s="182" t="s">
        <v>58</v>
      </c>
      <c r="AE54" s="206">
        <f aca="true" t="shared" si="101" ref="AE54:AJ54">D106</f>
        <v>6500</v>
      </c>
      <c r="AF54" s="207" t="str">
        <f t="shared" si="101"/>
        <v>n.r.</v>
      </c>
      <c r="AG54" s="206">
        <f t="shared" si="101"/>
        <v>1728</v>
      </c>
      <c r="AH54" s="206">
        <f t="shared" si="101"/>
        <v>48.8</v>
      </c>
      <c r="AI54" s="206">
        <f t="shared" si="101"/>
        <v>5420</v>
      </c>
      <c r="AJ54" s="208">
        <f t="shared" si="101"/>
        <v>13696.8</v>
      </c>
      <c r="AK54" s="162"/>
      <c r="AM54" s="299" t="s">
        <v>9</v>
      </c>
      <c r="AN54" s="162">
        <v>250000</v>
      </c>
      <c r="AO54" s="162">
        <f aca="true" t="shared" si="102" ref="AO54:AT54">D52</f>
        <v>15000</v>
      </c>
      <c r="AP54" s="162">
        <f t="shared" si="102"/>
        <v>141.39999999999998</v>
      </c>
      <c r="AQ54" s="162">
        <f t="shared" si="102"/>
        <v>1194.3</v>
      </c>
      <c r="AR54" s="162">
        <f t="shared" si="102"/>
        <v>301.4</v>
      </c>
      <c r="AS54" s="162">
        <f t="shared" si="102"/>
        <v>20475.000000000004</v>
      </c>
      <c r="AT54" s="194">
        <f t="shared" si="102"/>
        <v>37112.100000000006</v>
      </c>
    </row>
    <row r="55" spans="3:46" ht="15.75">
      <c r="C55" s="319"/>
      <c r="D55" s="320" t="s">
        <v>44</v>
      </c>
      <c r="E55" s="321">
        <v>20</v>
      </c>
      <c r="F55" s="322"/>
      <c r="G55" s="320"/>
      <c r="H55" s="320"/>
      <c r="I55" s="320" t="s">
        <v>52</v>
      </c>
      <c r="J55" s="321">
        <v>13</v>
      </c>
      <c r="K55" s="323"/>
      <c r="L55" s="318"/>
      <c r="M55" s="222"/>
      <c r="N55" s="222"/>
      <c r="O55" s="222"/>
      <c r="P55" s="222"/>
      <c r="Q55" s="222"/>
      <c r="U55" s="324" t="s">
        <v>51</v>
      </c>
      <c r="V55" s="223">
        <f>(SUM(V34:V53))/J55</f>
        <v>0.061566113942724945</v>
      </c>
      <c r="X55" s="47"/>
      <c r="Y55" s="224"/>
      <c r="Z55" s="47"/>
      <c r="AA55" s="49"/>
      <c r="AB55" s="49"/>
      <c r="AC55" s="299"/>
      <c r="AD55" s="300"/>
      <c r="AE55" s="300"/>
      <c r="AF55" s="300"/>
      <c r="AG55" s="300"/>
      <c r="AH55" s="300"/>
      <c r="AI55" s="300"/>
      <c r="AJ55" s="314"/>
      <c r="AM55" s="299"/>
      <c r="AN55" s="300"/>
      <c r="AO55" s="300"/>
      <c r="AP55" s="300"/>
      <c r="AQ55" s="300"/>
      <c r="AR55" s="300"/>
      <c r="AS55" s="300"/>
      <c r="AT55" s="201"/>
    </row>
    <row r="56" spans="4:46" ht="15.75">
      <c r="D56" s="225"/>
      <c r="M56" s="222"/>
      <c r="N56" s="222"/>
      <c r="O56" s="222"/>
      <c r="P56" s="222"/>
      <c r="Q56" s="222"/>
      <c r="W56" s="226"/>
      <c r="X56" s="227"/>
      <c r="Z56" s="227"/>
      <c r="AA56" s="227"/>
      <c r="AB56" s="227"/>
      <c r="AC56" s="196" t="s">
        <v>4</v>
      </c>
      <c r="AD56" s="162">
        <v>100000</v>
      </c>
      <c r="AE56" s="162">
        <f aca="true" t="shared" si="103" ref="AE56:AJ56">D17</f>
        <v>2000</v>
      </c>
      <c r="AF56" s="162">
        <f t="shared" si="103"/>
        <v>500</v>
      </c>
      <c r="AG56" s="162">
        <f t="shared" si="103"/>
        <v>1000</v>
      </c>
      <c r="AH56" s="162">
        <f t="shared" si="103"/>
        <v>375</v>
      </c>
      <c r="AI56" s="162">
        <f t="shared" si="103"/>
        <v>0</v>
      </c>
      <c r="AJ56" s="198">
        <f t="shared" si="103"/>
        <v>3875</v>
      </c>
      <c r="AM56" s="299" t="s">
        <v>10</v>
      </c>
      <c r="AN56" s="162">
        <v>100000</v>
      </c>
      <c r="AO56" s="162">
        <f aca="true" t="shared" si="104" ref="AO56:AT56">D26</f>
        <v>3600</v>
      </c>
      <c r="AP56" s="162">
        <f t="shared" si="104"/>
        <v>400</v>
      </c>
      <c r="AQ56" s="162">
        <f t="shared" si="104"/>
        <v>0</v>
      </c>
      <c r="AR56" s="162">
        <f t="shared" si="104"/>
        <v>118</v>
      </c>
      <c r="AS56" s="162">
        <f t="shared" si="104"/>
        <v>2900</v>
      </c>
      <c r="AT56" s="194">
        <f t="shared" si="104"/>
        <v>7018</v>
      </c>
    </row>
    <row r="57" spans="3:46" ht="15.75">
      <c r="C57" s="294" t="s">
        <v>20</v>
      </c>
      <c r="D57" s="229"/>
      <c r="M57" s="222"/>
      <c r="N57" s="222"/>
      <c r="O57" s="222"/>
      <c r="P57" s="222"/>
      <c r="Q57" s="222"/>
      <c r="W57" s="226"/>
      <c r="X57" s="227"/>
      <c r="Z57" s="227"/>
      <c r="AA57" s="227"/>
      <c r="AB57" s="227"/>
      <c r="AC57" s="299" t="s">
        <v>4</v>
      </c>
      <c r="AD57" s="162">
        <v>250000</v>
      </c>
      <c r="AE57" s="162">
        <f aca="true" t="shared" si="105" ref="AE57:AJ57">D44</f>
        <v>2000</v>
      </c>
      <c r="AF57" s="162">
        <f t="shared" si="105"/>
        <v>640</v>
      </c>
      <c r="AG57" s="162">
        <f t="shared" si="105"/>
        <v>2000</v>
      </c>
      <c r="AH57" s="162">
        <f t="shared" si="105"/>
        <v>375</v>
      </c>
      <c r="AI57" s="162">
        <f t="shared" si="105"/>
        <v>10000</v>
      </c>
      <c r="AJ57" s="198">
        <f t="shared" si="105"/>
        <v>15015</v>
      </c>
      <c r="AM57" s="299" t="s">
        <v>10</v>
      </c>
      <c r="AN57" s="162">
        <v>250000</v>
      </c>
      <c r="AO57" s="162">
        <f aca="true" t="shared" si="106" ref="AO57:AT57">D53</f>
        <v>7800</v>
      </c>
      <c r="AP57" s="162">
        <f t="shared" si="106"/>
        <v>400</v>
      </c>
      <c r="AQ57" s="162">
        <f t="shared" si="106"/>
        <v>0</v>
      </c>
      <c r="AR57" s="162">
        <f t="shared" si="106"/>
        <v>118</v>
      </c>
      <c r="AS57" s="162">
        <f t="shared" si="106"/>
        <v>7250</v>
      </c>
      <c r="AT57" s="194">
        <f t="shared" si="106"/>
        <v>15568</v>
      </c>
    </row>
    <row r="58" spans="3:46" ht="12.75">
      <c r="C58" s="294" t="s">
        <v>41</v>
      </c>
      <c r="V58" s="223"/>
      <c r="X58" s="49"/>
      <c r="Y58" s="221"/>
      <c r="Z58" s="49"/>
      <c r="AA58" s="49"/>
      <c r="AB58" s="49"/>
      <c r="AC58" s="299" t="s">
        <v>4</v>
      </c>
      <c r="AD58" s="162">
        <v>500000</v>
      </c>
      <c r="AE58" s="162">
        <f aca="true" t="shared" si="107" ref="AE58:AJ58">D78</f>
        <v>6500</v>
      </c>
      <c r="AF58" s="162">
        <f t="shared" si="107"/>
        <v>600</v>
      </c>
      <c r="AG58" s="162">
        <f t="shared" si="107"/>
        <v>4000</v>
      </c>
      <c r="AH58" s="162">
        <f t="shared" si="107"/>
        <v>625</v>
      </c>
      <c r="AI58" s="162">
        <f t="shared" si="107"/>
        <v>37500</v>
      </c>
      <c r="AJ58" s="198">
        <f t="shared" si="107"/>
        <v>49225</v>
      </c>
      <c r="AM58" s="299"/>
      <c r="AN58" s="300"/>
      <c r="AO58" s="300"/>
      <c r="AP58" s="300"/>
      <c r="AQ58" s="300"/>
      <c r="AR58" s="300"/>
      <c r="AS58" s="300"/>
      <c r="AT58" s="201"/>
    </row>
    <row r="59" spans="3:46" ht="12.75">
      <c r="C59" s="191" t="s">
        <v>54</v>
      </c>
      <c r="V59" s="223"/>
      <c r="AC59" s="316" t="s">
        <v>4</v>
      </c>
      <c r="AD59" s="182" t="s">
        <v>58</v>
      </c>
      <c r="AE59" s="206">
        <f aca="true" t="shared" si="108" ref="AE59:AJ59">D107</f>
        <v>2959.58</v>
      </c>
      <c r="AF59" s="206">
        <f t="shared" si="108"/>
        <v>631.4704</v>
      </c>
      <c r="AG59" s="206">
        <f t="shared" si="108"/>
        <v>2426.48</v>
      </c>
      <c r="AH59" s="206">
        <f t="shared" si="108"/>
        <v>428.31</v>
      </c>
      <c r="AI59" s="206">
        <f t="shared" si="108"/>
        <v>15864.1</v>
      </c>
      <c r="AJ59" s="208">
        <f t="shared" si="108"/>
        <v>22309.9404</v>
      </c>
      <c r="AM59" s="230" t="s">
        <v>107</v>
      </c>
      <c r="AN59" s="162">
        <v>100000</v>
      </c>
      <c r="AO59" s="162">
        <f aca="true" t="shared" si="109" ref="AO59:AT59">D27</f>
        <v>3763.65</v>
      </c>
      <c r="AP59" s="162">
        <f t="shared" si="109"/>
        <v>419.5769230769231</v>
      </c>
      <c r="AQ59" s="162">
        <f t="shared" si="109"/>
        <v>1146.97295</v>
      </c>
      <c r="AR59" s="162">
        <f t="shared" si="109"/>
        <v>396.95484999999996</v>
      </c>
      <c r="AS59" s="162">
        <f t="shared" si="109"/>
        <v>3925.655</v>
      </c>
      <c r="AT59" s="194">
        <f t="shared" si="109"/>
        <v>9505.9578</v>
      </c>
    </row>
    <row r="60" spans="3:46" ht="12.75">
      <c r="C60" s="294" t="s">
        <v>53</v>
      </c>
      <c r="V60" s="223"/>
      <c r="AC60" s="299"/>
      <c r="AD60" s="300"/>
      <c r="AE60" s="300"/>
      <c r="AF60" s="300"/>
      <c r="AG60" s="300"/>
      <c r="AH60" s="300"/>
      <c r="AI60" s="300"/>
      <c r="AJ60" s="314"/>
      <c r="AM60" s="231" t="s">
        <v>107</v>
      </c>
      <c r="AN60" s="206">
        <v>250000</v>
      </c>
      <c r="AO60" s="206">
        <f aca="true" t="shared" si="110" ref="AO60:AT60">D54</f>
        <v>8441.925</v>
      </c>
      <c r="AP60" s="206">
        <f t="shared" si="110"/>
        <v>463.95384615384614</v>
      </c>
      <c r="AQ60" s="206">
        <f t="shared" si="110"/>
        <v>1789.1256500000004</v>
      </c>
      <c r="AR60" s="206">
        <f t="shared" si="110"/>
        <v>827.4898499999999</v>
      </c>
      <c r="AS60" s="206">
        <f t="shared" si="110"/>
        <v>10592.75</v>
      </c>
      <c r="AT60" s="232">
        <f t="shared" si="110"/>
        <v>21952.860500000003</v>
      </c>
    </row>
    <row r="61" spans="3:36" ht="12.75">
      <c r="C61" s="300" t="s">
        <v>184</v>
      </c>
      <c r="V61" s="223"/>
      <c r="AC61" s="196" t="s">
        <v>5</v>
      </c>
      <c r="AD61" s="162">
        <v>100000</v>
      </c>
      <c r="AE61" s="162">
        <f aca="true" t="shared" si="111" ref="AE61:AJ61">D18</f>
        <v>6000</v>
      </c>
      <c r="AF61" s="197" t="str">
        <f t="shared" si="111"/>
        <v>n.r.</v>
      </c>
      <c r="AG61" s="162">
        <f t="shared" si="111"/>
        <v>2319</v>
      </c>
      <c r="AH61" s="162">
        <f t="shared" si="111"/>
        <v>139.297</v>
      </c>
      <c r="AI61" s="162">
        <f t="shared" si="111"/>
        <v>2015.6</v>
      </c>
      <c r="AJ61" s="198">
        <f t="shared" si="111"/>
        <v>10473.897</v>
      </c>
    </row>
    <row r="62" spans="3:36" ht="12.75">
      <c r="C62" s="300" t="s">
        <v>50</v>
      </c>
      <c r="V62" s="223"/>
      <c r="AC62" s="299" t="s">
        <v>5</v>
      </c>
      <c r="AD62" s="162">
        <v>250000</v>
      </c>
      <c r="AE62" s="162">
        <f aca="true" t="shared" si="112" ref="AE62:AJ62">D45</f>
        <v>15000</v>
      </c>
      <c r="AF62" s="197" t="str">
        <f t="shared" si="112"/>
        <v>n.r.</v>
      </c>
      <c r="AG62" s="162">
        <f t="shared" si="112"/>
        <v>3245</v>
      </c>
      <c r="AH62" s="162">
        <f t="shared" si="112"/>
        <v>139.297</v>
      </c>
      <c r="AI62" s="162">
        <f t="shared" si="112"/>
        <v>4265.6</v>
      </c>
      <c r="AJ62" s="198">
        <f t="shared" si="112"/>
        <v>22649.896999999997</v>
      </c>
    </row>
    <row r="63" spans="3:36" ht="12.75">
      <c r="C63" s="300"/>
      <c r="V63" s="223"/>
      <c r="AC63" s="299" t="s">
        <v>5</v>
      </c>
      <c r="AD63" s="162">
        <v>500000</v>
      </c>
      <c r="AE63" s="162">
        <f aca="true" t="shared" si="113" ref="AE63:AJ63">D79</f>
        <v>30000</v>
      </c>
      <c r="AF63" s="197" t="str">
        <f t="shared" si="113"/>
        <v>n.r.</v>
      </c>
      <c r="AG63" s="162">
        <f t="shared" si="113"/>
        <v>4745</v>
      </c>
      <c r="AH63" s="162">
        <f t="shared" si="113"/>
        <v>139.297</v>
      </c>
      <c r="AI63" s="162">
        <f t="shared" si="113"/>
        <v>8015.6</v>
      </c>
      <c r="AJ63" s="198">
        <f t="shared" si="113"/>
        <v>42899.897</v>
      </c>
    </row>
    <row r="64" spans="3:36" ht="12.75">
      <c r="C64" s="300"/>
      <c r="AC64" s="316" t="s">
        <v>5</v>
      </c>
      <c r="AD64" s="182" t="s">
        <v>58</v>
      </c>
      <c r="AE64" s="206">
        <f aca="true" t="shared" si="114" ref="AE64:AJ64">D108</f>
        <v>7771.92</v>
      </c>
      <c r="AF64" s="207" t="str">
        <f t="shared" si="114"/>
        <v>n.r.</v>
      </c>
      <c r="AG64" s="206">
        <f t="shared" si="114"/>
        <v>2501.31088</v>
      </c>
      <c r="AH64" s="206">
        <f t="shared" si="114"/>
        <v>139.21</v>
      </c>
      <c r="AI64" s="206">
        <f t="shared" si="114"/>
        <v>2458.58</v>
      </c>
      <c r="AJ64" s="208">
        <f t="shared" si="114"/>
        <v>12871.020879999998</v>
      </c>
    </row>
    <row r="65" spans="3:36" ht="12.75">
      <c r="C65" s="295"/>
      <c r="D65" s="296"/>
      <c r="E65" s="189">
        <v>500000</v>
      </c>
      <c r="F65" s="190" t="s">
        <v>127</v>
      </c>
      <c r="G65" s="296"/>
      <c r="H65" s="296"/>
      <c r="I65" s="296"/>
      <c r="J65" s="296"/>
      <c r="K65" s="296"/>
      <c r="L65" s="298"/>
      <c r="N65" s="192"/>
      <c r="O65" s="171" t="s">
        <v>28</v>
      </c>
      <c r="P65" s="172"/>
      <c r="Q65" s="298"/>
      <c r="R65" s="295"/>
      <c r="S65" s="172" t="s">
        <v>21</v>
      </c>
      <c r="T65" s="298"/>
      <c r="U65" s="295"/>
      <c r="V65" s="172" t="s">
        <v>24</v>
      </c>
      <c r="W65" s="298"/>
      <c r="X65" s="295"/>
      <c r="Y65" s="172" t="s">
        <v>39</v>
      </c>
      <c r="Z65" s="298"/>
      <c r="AA65" s="300"/>
      <c r="AC65" s="295"/>
      <c r="AD65" s="189" t="s">
        <v>148</v>
      </c>
      <c r="AE65" s="296"/>
      <c r="AF65" s="189"/>
      <c r="AG65" s="190"/>
      <c r="AH65" s="297"/>
      <c r="AI65" s="296"/>
      <c r="AJ65" s="298"/>
    </row>
    <row r="66" spans="3:36" ht="12.75">
      <c r="C66" s="299"/>
      <c r="D66" s="300"/>
      <c r="E66" s="300"/>
      <c r="F66" s="300"/>
      <c r="G66" s="300"/>
      <c r="H66" s="300"/>
      <c r="I66" s="300"/>
      <c r="J66" s="300"/>
      <c r="K66" s="300"/>
      <c r="L66" s="301"/>
      <c r="N66" s="302"/>
      <c r="O66" s="303" t="s">
        <v>30</v>
      </c>
      <c r="P66" s="303"/>
      <c r="Q66" s="304"/>
      <c r="R66" s="299"/>
      <c r="S66" s="303" t="s">
        <v>30</v>
      </c>
      <c r="T66" s="301"/>
      <c r="U66" s="299"/>
      <c r="V66" s="303" t="s">
        <v>30</v>
      </c>
      <c r="W66" s="301"/>
      <c r="X66" s="299"/>
      <c r="Y66" s="303" t="s">
        <v>30</v>
      </c>
      <c r="Z66" s="301"/>
      <c r="AA66" s="300"/>
      <c r="AC66" s="299"/>
      <c r="AD66" s="300"/>
      <c r="AE66" s="300"/>
      <c r="AF66" s="300"/>
      <c r="AG66" s="300"/>
      <c r="AH66" s="300"/>
      <c r="AI66" s="300"/>
      <c r="AJ66" s="301"/>
    </row>
    <row r="67" spans="3:36" ht="12.75">
      <c r="C67" s="174" t="s">
        <v>11</v>
      </c>
      <c r="D67" s="62" t="s">
        <v>40</v>
      </c>
      <c r="E67" s="62" t="s">
        <v>32</v>
      </c>
      <c r="F67" s="62" t="s">
        <v>46</v>
      </c>
      <c r="G67" s="62" t="s">
        <v>33</v>
      </c>
      <c r="H67" s="62" t="s">
        <v>17</v>
      </c>
      <c r="I67" s="62" t="s">
        <v>34</v>
      </c>
      <c r="J67" s="62" t="s">
        <v>36</v>
      </c>
      <c r="K67" s="62" t="s">
        <v>42</v>
      </c>
      <c r="L67" s="60" t="s">
        <v>18</v>
      </c>
      <c r="M67" s="195"/>
      <c r="N67" s="61" t="s">
        <v>37</v>
      </c>
      <c r="O67" s="62" t="s">
        <v>22</v>
      </c>
      <c r="P67" s="62" t="s">
        <v>23</v>
      </c>
      <c r="Q67" s="60" t="s">
        <v>38</v>
      </c>
      <c r="R67" s="61" t="s">
        <v>22</v>
      </c>
      <c r="S67" s="62" t="s">
        <v>23</v>
      </c>
      <c r="T67" s="60" t="s">
        <v>38</v>
      </c>
      <c r="U67" s="61" t="s">
        <v>25</v>
      </c>
      <c r="V67" s="62" t="s">
        <v>26</v>
      </c>
      <c r="W67" s="60" t="s">
        <v>47</v>
      </c>
      <c r="X67" s="61" t="s">
        <v>25</v>
      </c>
      <c r="Y67" s="62" t="s">
        <v>26</v>
      </c>
      <c r="Z67" s="60" t="s">
        <v>47</v>
      </c>
      <c r="AA67" s="24"/>
      <c r="AC67" s="174"/>
      <c r="AD67" s="175"/>
      <c r="AE67" s="62" t="s">
        <v>40</v>
      </c>
      <c r="AF67" s="62" t="s">
        <v>32</v>
      </c>
      <c r="AG67" s="62" t="s">
        <v>46</v>
      </c>
      <c r="AH67" s="62" t="s">
        <v>33</v>
      </c>
      <c r="AI67" s="62" t="s">
        <v>17</v>
      </c>
      <c r="AJ67" s="193" t="s">
        <v>149</v>
      </c>
    </row>
    <row r="68" spans="1:36" ht="12.75">
      <c r="A68" s="305">
        <v>0.7</v>
      </c>
      <c r="B68" s="305"/>
      <c r="C68" s="173" t="s">
        <v>12</v>
      </c>
      <c r="D68" s="162">
        <f>'no mortgage'!C68+'additional costs mortgage'!C68*'partial 70% mortgage'!A68</f>
        <v>30000</v>
      </c>
      <c r="E68" s="197" t="s">
        <v>43</v>
      </c>
      <c r="F68" s="162">
        <f>'no mortgage'!E68+'additional costs mortgage'!E68*'partial 70% mortgage'!A68</f>
        <v>2900</v>
      </c>
      <c r="G68" s="162">
        <f>'no mortgage'!F68+'additional costs mortgage'!F68*'partial 70% mortgage'!A68</f>
        <v>9200</v>
      </c>
      <c r="H68" s="162">
        <f>'no mortgage'!G68+'additional costs mortgage'!G68*'partial 70% mortgage'!A68</f>
        <v>17500</v>
      </c>
      <c r="I68" s="199">
        <f aca="true" t="shared" si="115" ref="I68:I87">SUM(D68:H68)</f>
        <v>59600</v>
      </c>
      <c r="J68" s="162">
        <f aca="true" t="shared" si="116" ref="J68:J87">SUM(D68:G68)</f>
        <v>42100</v>
      </c>
      <c r="K68" s="162">
        <f aca="true" t="shared" si="117" ref="K68:K87">SUM(D68:F68)</f>
        <v>32900</v>
      </c>
      <c r="L68" s="200">
        <v>0.2</v>
      </c>
      <c r="M68" s="306"/>
      <c r="N68" s="307">
        <f aca="true" t="shared" si="118" ref="N68:N87">I68/500000</f>
        <v>0.1192</v>
      </c>
      <c r="O68" s="308">
        <f aca="true" t="shared" si="119" ref="O68:O87">H68/500000</f>
        <v>0.035</v>
      </c>
      <c r="P68" s="308">
        <f aca="true" t="shared" si="120" ref="P68:P85">G68/500000</f>
        <v>0.0184</v>
      </c>
      <c r="Q68" s="309">
        <f aca="true" t="shared" si="121" ref="Q68:Q87">K68/500000</f>
        <v>0.0658</v>
      </c>
      <c r="R68" s="310">
        <f aca="true" t="shared" si="122" ref="R68:R87">H68/I68</f>
        <v>0.2936241610738255</v>
      </c>
      <c r="S68" s="311">
        <f aca="true" t="shared" si="123" ref="S68:S85">G68/I68</f>
        <v>0.15436241610738255</v>
      </c>
      <c r="T68" s="312">
        <f aca="true" t="shared" si="124" ref="T68:T87">K68/I68</f>
        <v>0.552013422818792</v>
      </c>
      <c r="U68" s="310">
        <f aca="true" t="shared" si="125" ref="U68:U87">D68/K68</f>
        <v>0.9118541033434651</v>
      </c>
      <c r="V68" s="311"/>
      <c r="W68" s="312">
        <f aca="true" t="shared" si="126" ref="W68:W87">F68/K68</f>
        <v>0.08814589665653495</v>
      </c>
      <c r="X68" s="310">
        <f aca="true" t="shared" si="127" ref="X68:X76">D68/500000</f>
        <v>0.06</v>
      </c>
      <c r="Y68" s="311"/>
      <c r="Z68" s="312">
        <f aca="true" t="shared" si="128" ref="Z68:Z87">F68/500000</f>
        <v>0.0058</v>
      </c>
      <c r="AA68" s="311"/>
      <c r="AC68" s="299"/>
      <c r="AD68" s="300"/>
      <c r="AE68" s="300"/>
      <c r="AF68" s="300"/>
      <c r="AG68" s="300"/>
      <c r="AH68" s="300"/>
      <c r="AI68" s="300"/>
      <c r="AJ68" s="314"/>
    </row>
    <row r="69" spans="1:36" ht="15.75">
      <c r="A69" s="305">
        <v>0.7</v>
      </c>
      <c r="B69" s="305"/>
      <c r="C69" s="173" t="s">
        <v>13</v>
      </c>
      <c r="D69" s="162">
        <f>'no mortgage'!C69+'additional costs mortgage'!C69*'partial 70% mortgage'!A69</f>
        <v>15000</v>
      </c>
      <c r="E69" s="197" t="s">
        <v>43</v>
      </c>
      <c r="F69" s="162">
        <f>'no mortgage'!E69+'additional costs mortgage'!E69*'partial 70% mortgage'!A69</f>
        <v>3304.04</v>
      </c>
      <c r="G69" s="162">
        <f>'no mortgage'!F69+'additional costs mortgage'!F69*'partial 70% mortgage'!A69</f>
        <v>2000</v>
      </c>
      <c r="H69" s="162">
        <f>'no mortgage'!G69+'additional costs mortgage'!G69*'partial 70% mortgage'!A69</f>
        <v>61350</v>
      </c>
      <c r="I69" s="198">
        <f t="shared" si="115"/>
        <v>81654.04000000001</v>
      </c>
      <c r="J69" s="162">
        <f t="shared" si="116"/>
        <v>20304.04</v>
      </c>
      <c r="K69" s="162">
        <f t="shared" si="117"/>
        <v>18304.04</v>
      </c>
      <c r="L69" s="202">
        <v>0.21</v>
      </c>
      <c r="M69" s="203"/>
      <c r="N69" s="307">
        <f t="shared" si="118"/>
        <v>0.16330808000000002</v>
      </c>
      <c r="O69" s="308">
        <f t="shared" si="119"/>
        <v>0.1227</v>
      </c>
      <c r="P69" s="308">
        <f t="shared" si="120"/>
        <v>0.004</v>
      </c>
      <c r="Q69" s="309">
        <f t="shared" si="121"/>
        <v>0.03660808</v>
      </c>
      <c r="R69" s="310">
        <f t="shared" si="122"/>
        <v>0.751340656261466</v>
      </c>
      <c r="S69" s="311">
        <f t="shared" si="123"/>
        <v>0.02449358292620916</v>
      </c>
      <c r="T69" s="312">
        <f t="shared" si="124"/>
        <v>0.22416576081232475</v>
      </c>
      <c r="U69" s="310">
        <f t="shared" si="125"/>
        <v>0.8194912161468179</v>
      </c>
      <c r="V69" s="311"/>
      <c r="W69" s="312">
        <f t="shared" si="126"/>
        <v>0.18050878385318214</v>
      </c>
      <c r="X69" s="310">
        <f t="shared" si="127"/>
        <v>0.03</v>
      </c>
      <c r="Y69" s="311"/>
      <c r="Z69" s="312">
        <f t="shared" si="128"/>
        <v>0.00660808</v>
      </c>
      <c r="AA69" s="311"/>
      <c r="AC69" s="196" t="s">
        <v>6</v>
      </c>
      <c r="AD69" s="162">
        <v>100000</v>
      </c>
      <c r="AE69" s="162">
        <f aca="true" t="shared" si="129" ref="AE69:AJ69">D19</f>
        <v>1850</v>
      </c>
      <c r="AF69" s="197" t="str">
        <f t="shared" si="129"/>
        <v>n.r.</v>
      </c>
      <c r="AG69" s="162">
        <f t="shared" si="129"/>
        <v>1055.8</v>
      </c>
      <c r="AH69" s="162">
        <f t="shared" si="129"/>
        <v>164.1</v>
      </c>
      <c r="AI69" s="162">
        <f t="shared" si="129"/>
        <v>6000</v>
      </c>
      <c r="AJ69" s="198">
        <f t="shared" si="129"/>
        <v>9069.9</v>
      </c>
    </row>
    <row r="70" spans="1:36" ht="15.75">
      <c r="A70" s="305">
        <v>0.7</v>
      </c>
      <c r="B70" s="305"/>
      <c r="C70" s="173" t="s">
        <v>154</v>
      </c>
      <c r="D70" s="162">
        <f>'no mortgage'!C70+'additional costs mortgage'!C70*'partial 70% mortgage'!A70</f>
        <v>15000</v>
      </c>
      <c r="E70" s="162">
        <f>'no mortgage'!D70+'additional costs mortgage'!D70*'partial 70% mortgage'!A70</f>
        <v>500</v>
      </c>
      <c r="F70" s="162">
        <f>'no mortgage'!E70+'additional costs mortgage'!E70*'partial 70% mortgage'!A70</f>
        <v>850</v>
      </c>
      <c r="G70" s="162">
        <f>'no mortgage'!F70+'additional costs mortgage'!F70*'partial 70% mortgage'!A70</f>
        <v>17</v>
      </c>
      <c r="H70" s="162">
        <f>'no mortgage'!G70+'additional costs mortgage'!G70*'partial 70% mortgage'!A70</f>
        <v>0</v>
      </c>
      <c r="I70" s="198">
        <f t="shared" si="115"/>
        <v>16367</v>
      </c>
      <c r="J70" s="162">
        <f t="shared" si="116"/>
        <v>16367</v>
      </c>
      <c r="K70" s="162">
        <f t="shared" si="117"/>
        <v>16350</v>
      </c>
      <c r="L70" s="202">
        <v>0.19</v>
      </c>
      <c r="M70" s="203"/>
      <c r="N70" s="307">
        <f t="shared" si="118"/>
        <v>0.032734</v>
      </c>
      <c r="O70" s="308">
        <f t="shared" si="119"/>
        <v>0</v>
      </c>
      <c r="P70" s="308">
        <f t="shared" si="120"/>
        <v>3.4E-05</v>
      </c>
      <c r="Q70" s="309">
        <f t="shared" si="121"/>
        <v>0.0327</v>
      </c>
      <c r="R70" s="310">
        <f t="shared" si="122"/>
        <v>0</v>
      </c>
      <c r="S70" s="311">
        <f t="shared" si="123"/>
        <v>0.0010386753833934136</v>
      </c>
      <c r="T70" s="312">
        <f t="shared" si="124"/>
        <v>0.9989613246166066</v>
      </c>
      <c r="U70" s="310">
        <f t="shared" si="125"/>
        <v>0.9174311926605505</v>
      </c>
      <c r="V70" s="311">
        <f>E70/K70</f>
        <v>0.03058103975535168</v>
      </c>
      <c r="W70" s="312">
        <f t="shared" si="126"/>
        <v>0.05198776758409786</v>
      </c>
      <c r="X70" s="310">
        <f t="shared" si="127"/>
        <v>0.03</v>
      </c>
      <c r="Y70" s="311">
        <f>E70/500000</f>
        <v>0.001</v>
      </c>
      <c r="Z70" s="312">
        <f t="shared" si="128"/>
        <v>0.0017</v>
      </c>
      <c r="AA70" s="311"/>
      <c r="AC70" s="299" t="s">
        <v>6</v>
      </c>
      <c r="AD70" s="162">
        <v>250000</v>
      </c>
      <c r="AE70" s="162">
        <f aca="true" t="shared" si="130" ref="AE70:AJ70">D46</f>
        <v>4625</v>
      </c>
      <c r="AF70" s="197" t="str">
        <f t="shared" si="130"/>
        <v>n.r.</v>
      </c>
      <c r="AG70" s="162">
        <f t="shared" si="130"/>
        <v>1152.9</v>
      </c>
      <c r="AH70" s="162">
        <f t="shared" si="130"/>
        <v>164.1</v>
      </c>
      <c r="AI70" s="162">
        <f t="shared" si="130"/>
        <v>15000</v>
      </c>
      <c r="AJ70" s="198">
        <f t="shared" si="130"/>
        <v>20942</v>
      </c>
    </row>
    <row r="71" spans="1:36" ht="15.75">
      <c r="A71" s="305">
        <v>0.7</v>
      </c>
      <c r="B71" s="305"/>
      <c r="C71" s="299" t="s">
        <v>14</v>
      </c>
      <c r="D71" s="162">
        <f>'no mortgage'!C71+'additional costs mortgage'!C71*'partial 70% mortgage'!A71</f>
        <v>13747</v>
      </c>
      <c r="E71" s="162">
        <f>'no mortgage'!D71+'additional costs mortgage'!D71*'partial 70% mortgage'!A71</f>
        <v>1020</v>
      </c>
      <c r="F71" s="162">
        <f>'no mortgage'!E71+'additional costs mortgage'!E71*'partial 70% mortgage'!A71</f>
        <v>1013</v>
      </c>
      <c r="G71" s="162">
        <f>'no mortgage'!F71+'additional costs mortgage'!F71*'partial 70% mortgage'!A71</f>
        <v>8567.9</v>
      </c>
      <c r="H71" s="162">
        <f>'no mortgage'!G71+'additional costs mortgage'!G71*'partial 70% mortgage'!A71</f>
        <v>0</v>
      </c>
      <c r="I71" s="198">
        <f t="shared" si="115"/>
        <v>24347.9</v>
      </c>
      <c r="J71" s="162">
        <f t="shared" si="116"/>
        <v>24347.9</v>
      </c>
      <c r="K71" s="162">
        <f t="shared" si="117"/>
        <v>15780</v>
      </c>
      <c r="L71" s="202">
        <v>0.25</v>
      </c>
      <c r="M71" s="203"/>
      <c r="N71" s="307">
        <f t="shared" si="118"/>
        <v>0.048695800000000004</v>
      </c>
      <c r="O71" s="308">
        <f t="shared" si="119"/>
        <v>0</v>
      </c>
      <c r="P71" s="308">
        <f t="shared" si="120"/>
        <v>0.0171358</v>
      </c>
      <c r="Q71" s="309">
        <f t="shared" si="121"/>
        <v>0.03156</v>
      </c>
      <c r="R71" s="310">
        <f t="shared" si="122"/>
        <v>0</v>
      </c>
      <c r="S71" s="311">
        <f t="shared" si="123"/>
        <v>0.3518948246049967</v>
      </c>
      <c r="T71" s="312">
        <f t="shared" si="124"/>
        <v>0.6481051753950032</v>
      </c>
      <c r="U71" s="310">
        <f t="shared" si="125"/>
        <v>0.8711660329531052</v>
      </c>
      <c r="V71" s="311">
        <f>E71/K71</f>
        <v>0.06463878326996197</v>
      </c>
      <c r="W71" s="312">
        <f t="shared" si="126"/>
        <v>0.06419518377693283</v>
      </c>
      <c r="X71" s="209">
        <f t="shared" si="127"/>
        <v>0.027494</v>
      </c>
      <c r="Y71" s="311">
        <f>E71/500000</f>
        <v>0.00204</v>
      </c>
      <c r="Z71" s="210">
        <f t="shared" si="128"/>
        <v>0.002026</v>
      </c>
      <c r="AA71" s="211"/>
      <c r="AC71" s="299" t="s">
        <v>6</v>
      </c>
      <c r="AD71" s="162">
        <v>500000</v>
      </c>
      <c r="AE71" s="162">
        <f aca="true" t="shared" si="131" ref="AE71:AJ71">D80</f>
        <v>9250</v>
      </c>
      <c r="AF71" s="197" t="str">
        <f t="shared" si="131"/>
        <v>n.r.</v>
      </c>
      <c r="AG71" s="162">
        <f t="shared" si="131"/>
        <v>1849.1</v>
      </c>
      <c r="AH71" s="162">
        <f t="shared" si="131"/>
        <v>164.1</v>
      </c>
      <c r="AI71" s="162">
        <f t="shared" si="131"/>
        <v>30000</v>
      </c>
      <c r="AJ71" s="198">
        <f t="shared" si="131"/>
        <v>41263.2</v>
      </c>
    </row>
    <row r="72" spans="1:36" ht="15.75">
      <c r="A72" s="305">
        <v>0.7</v>
      </c>
      <c r="B72" s="305"/>
      <c r="C72" s="299" t="s">
        <v>0</v>
      </c>
      <c r="D72" s="162">
        <f>'no mortgage'!C72+'additional costs mortgage'!C72*'partial 70% mortgage'!A72</f>
        <v>7001</v>
      </c>
      <c r="E72" s="162">
        <f>'no mortgage'!D72+'additional costs mortgage'!D72*'partial 70% mortgage'!A72</f>
        <v>832.5</v>
      </c>
      <c r="F72" s="162">
        <f>'no mortgage'!E72+'additional costs mortgage'!E72*'partial 70% mortgage'!A72</f>
        <v>1700</v>
      </c>
      <c r="G72" s="162">
        <f>'no mortgage'!F72+'additional costs mortgage'!F72*'partial 70% mortgage'!A72</f>
        <v>330</v>
      </c>
      <c r="H72" s="162">
        <f>'no mortgage'!G72+'additional costs mortgage'!G72*'partial 70% mortgage'!A72</f>
        <v>15075</v>
      </c>
      <c r="I72" s="198">
        <f t="shared" si="115"/>
        <v>24938.5</v>
      </c>
      <c r="J72" s="162">
        <f t="shared" si="116"/>
        <v>9863.5</v>
      </c>
      <c r="K72" s="162">
        <f t="shared" si="117"/>
        <v>9533.5</v>
      </c>
      <c r="L72" s="202">
        <v>0.175</v>
      </c>
      <c r="M72" s="203"/>
      <c r="N72" s="307">
        <f t="shared" si="118"/>
        <v>0.049877</v>
      </c>
      <c r="O72" s="308">
        <f t="shared" si="119"/>
        <v>0.03015</v>
      </c>
      <c r="P72" s="308">
        <f t="shared" si="120"/>
        <v>0.00066</v>
      </c>
      <c r="Q72" s="309">
        <f t="shared" si="121"/>
        <v>0.019067</v>
      </c>
      <c r="R72" s="310">
        <f t="shared" si="122"/>
        <v>0.6044870381137598</v>
      </c>
      <c r="S72" s="311">
        <f t="shared" si="123"/>
        <v>0.013232552078112155</v>
      </c>
      <c r="T72" s="312">
        <f t="shared" si="124"/>
        <v>0.382280409808128</v>
      </c>
      <c r="U72" s="310">
        <f t="shared" si="125"/>
        <v>0.7343577909477107</v>
      </c>
      <c r="V72" s="311">
        <f>E72/K72</f>
        <v>0.08732364818796874</v>
      </c>
      <c r="W72" s="312">
        <f t="shared" si="126"/>
        <v>0.17831856086432055</v>
      </c>
      <c r="X72" s="310">
        <f t="shared" si="127"/>
        <v>0.014002</v>
      </c>
      <c r="Y72" s="311">
        <f>E72/500000</f>
        <v>0.001665</v>
      </c>
      <c r="Z72" s="312">
        <f t="shared" si="128"/>
        <v>0.0034</v>
      </c>
      <c r="AA72" s="311"/>
      <c r="AC72" s="316" t="s">
        <v>6</v>
      </c>
      <c r="AD72" s="182" t="s">
        <v>58</v>
      </c>
      <c r="AE72" s="206">
        <f aca="true" t="shared" si="132" ref="AE72:AJ72">D109</f>
        <v>3737</v>
      </c>
      <c r="AF72" s="207" t="str">
        <f t="shared" si="132"/>
        <v>n.r.</v>
      </c>
      <c r="AG72" s="206">
        <f t="shared" si="132"/>
        <v>1121.828</v>
      </c>
      <c r="AH72" s="206">
        <f t="shared" si="132"/>
        <v>164.1</v>
      </c>
      <c r="AI72" s="206">
        <f t="shared" si="132"/>
        <v>12120</v>
      </c>
      <c r="AJ72" s="208">
        <f t="shared" si="132"/>
        <v>17142.928</v>
      </c>
    </row>
    <row r="73" spans="1:36" ht="15.75">
      <c r="A73" s="305">
        <v>0.7</v>
      </c>
      <c r="B73" s="305"/>
      <c r="C73" s="299" t="s">
        <v>1</v>
      </c>
      <c r="D73" s="162">
        <f>'no mortgage'!C73+'additional costs mortgage'!C73*'partial 70% mortgage'!A73</f>
        <v>15625</v>
      </c>
      <c r="E73" s="162">
        <f>'no mortgage'!D73+'additional costs mortgage'!D73*'partial 70% mortgage'!A73</f>
        <v>600</v>
      </c>
      <c r="F73" s="162">
        <v>430</v>
      </c>
      <c r="G73" s="162">
        <f>'no mortgage'!F73+'additional costs mortgage'!F73*'partial 70% mortgage'!A73</f>
        <v>95.8</v>
      </c>
      <c r="H73" s="162">
        <f>'no mortgage'!G73+'additional costs mortgage'!G73*'partial 70% mortgage'!A73</f>
        <v>20000</v>
      </c>
      <c r="I73" s="198">
        <f t="shared" si="115"/>
        <v>36750.8</v>
      </c>
      <c r="J73" s="162">
        <f t="shared" si="116"/>
        <v>16750.8</v>
      </c>
      <c r="K73" s="162">
        <f t="shared" si="117"/>
        <v>16655</v>
      </c>
      <c r="L73" s="202">
        <v>0.28</v>
      </c>
      <c r="M73" s="203"/>
      <c r="N73" s="307">
        <f t="shared" si="118"/>
        <v>0.0735016</v>
      </c>
      <c r="O73" s="308">
        <f t="shared" si="119"/>
        <v>0.04</v>
      </c>
      <c r="P73" s="308">
        <f t="shared" si="120"/>
        <v>0.0001916</v>
      </c>
      <c r="Q73" s="309">
        <f t="shared" si="121"/>
        <v>0.03331</v>
      </c>
      <c r="R73" s="310">
        <f t="shared" si="122"/>
        <v>0.5442058404170793</v>
      </c>
      <c r="S73" s="311">
        <f t="shared" si="123"/>
        <v>0.0026067459755978097</v>
      </c>
      <c r="T73" s="312">
        <f t="shared" si="124"/>
        <v>0.4531874136073228</v>
      </c>
      <c r="U73" s="310">
        <f t="shared" si="125"/>
        <v>0.9381567096967878</v>
      </c>
      <c r="V73" s="311">
        <f>E73/K73</f>
        <v>0.03602521765235665</v>
      </c>
      <c r="W73" s="312">
        <f t="shared" si="126"/>
        <v>0.0258180726508556</v>
      </c>
      <c r="X73" s="209">
        <f t="shared" si="127"/>
        <v>0.03125</v>
      </c>
      <c r="Y73" s="311">
        <f>E73/500000</f>
        <v>0.0012</v>
      </c>
      <c r="Z73" s="210">
        <f t="shared" si="128"/>
        <v>0.00086</v>
      </c>
      <c r="AA73" s="211"/>
      <c r="AC73" s="299"/>
      <c r="AD73" s="300"/>
      <c r="AE73" s="300"/>
      <c r="AF73" s="300"/>
      <c r="AG73" s="300"/>
      <c r="AH73" s="300"/>
      <c r="AI73" s="300"/>
      <c r="AJ73" s="314"/>
    </row>
    <row r="74" spans="1:36" ht="15.75">
      <c r="A74" s="305">
        <v>0.7</v>
      </c>
      <c r="B74" s="305"/>
      <c r="C74" s="299" t="s">
        <v>2</v>
      </c>
      <c r="D74" s="162">
        <f>'no mortgage'!C74+'additional costs mortgage'!C74*'partial 70% mortgage'!A74</f>
        <v>30000</v>
      </c>
      <c r="E74" s="162">
        <f>'no mortgage'!D74+'additional costs mortgage'!D74*'partial 70% mortgage'!A74</f>
        <v>500</v>
      </c>
      <c r="F74" s="162">
        <f>'no mortgage'!E74+'additional costs mortgage'!E74*'partial 70% mortgage'!A74</f>
        <v>5492.5</v>
      </c>
      <c r="G74" s="162">
        <f>'no mortgage'!F74+'additional costs mortgage'!F74*'partial 70% mortgage'!A74</f>
        <v>675</v>
      </c>
      <c r="H74" s="162">
        <f>'no mortgage'!G74+'additional costs mortgage'!G74*'partial 70% mortgage'!A74</f>
        <v>25300</v>
      </c>
      <c r="I74" s="198">
        <f t="shared" si="115"/>
        <v>61967.5</v>
      </c>
      <c r="J74" s="162">
        <f t="shared" si="116"/>
        <v>36667.5</v>
      </c>
      <c r="K74" s="162">
        <f t="shared" si="117"/>
        <v>35992.5</v>
      </c>
      <c r="L74" s="202">
        <v>0.196</v>
      </c>
      <c r="M74" s="203"/>
      <c r="N74" s="307">
        <f t="shared" si="118"/>
        <v>0.123935</v>
      </c>
      <c r="O74" s="308">
        <f t="shared" si="119"/>
        <v>0.0506</v>
      </c>
      <c r="P74" s="308">
        <f t="shared" si="120"/>
        <v>0.00135</v>
      </c>
      <c r="Q74" s="309">
        <f t="shared" si="121"/>
        <v>0.071985</v>
      </c>
      <c r="R74" s="310">
        <f t="shared" si="122"/>
        <v>0.4082785331020293</v>
      </c>
      <c r="S74" s="311">
        <f t="shared" si="123"/>
        <v>0.010892806713196434</v>
      </c>
      <c r="T74" s="312">
        <f t="shared" si="124"/>
        <v>0.5808286601847743</v>
      </c>
      <c r="U74" s="310">
        <f t="shared" si="125"/>
        <v>0.8335069806209627</v>
      </c>
      <c r="V74" s="311">
        <f>E74/K74</f>
        <v>0.013891783010349379</v>
      </c>
      <c r="W74" s="312">
        <f t="shared" si="126"/>
        <v>0.15260123636868791</v>
      </c>
      <c r="X74" s="310">
        <f t="shared" si="127"/>
        <v>0.06</v>
      </c>
      <c r="Y74" s="311">
        <f>E74/500000</f>
        <v>0.001</v>
      </c>
      <c r="Z74" s="312">
        <f t="shared" si="128"/>
        <v>0.010985</v>
      </c>
      <c r="AA74" s="311"/>
      <c r="AC74" s="196" t="s">
        <v>7</v>
      </c>
      <c r="AD74" s="162">
        <v>100000</v>
      </c>
      <c r="AE74" s="162">
        <f aca="true" t="shared" si="133" ref="AE74:AJ74">D20</f>
        <v>2000</v>
      </c>
      <c r="AF74" s="162">
        <f t="shared" si="133"/>
        <v>175</v>
      </c>
      <c r="AG74" s="162">
        <f t="shared" si="133"/>
        <v>677</v>
      </c>
      <c r="AH74" s="162">
        <f t="shared" si="133"/>
        <v>50</v>
      </c>
      <c r="AI74" s="162">
        <f t="shared" si="133"/>
        <v>11417.5</v>
      </c>
      <c r="AJ74" s="198">
        <f t="shared" si="133"/>
        <v>14319.5</v>
      </c>
    </row>
    <row r="75" spans="1:36" ht="15.75">
      <c r="A75" s="305">
        <v>0.7</v>
      </c>
      <c r="B75" s="305"/>
      <c r="C75" s="299" t="s">
        <v>3</v>
      </c>
      <c r="D75" s="162">
        <f>'no mortgage'!C75+'additional costs mortgage'!C75*'partial 70% mortgage'!A75</f>
        <v>20000</v>
      </c>
      <c r="E75" s="197" t="s">
        <v>43</v>
      </c>
      <c r="F75" s="162">
        <f>'no mortgage'!E75+'additional costs mortgage'!E75*'partial 70% mortgage'!A75</f>
        <v>2626.9</v>
      </c>
      <c r="G75" s="162">
        <f>'no mortgage'!F75+'additional costs mortgage'!F75*'partial 70% mortgage'!A75</f>
        <v>1775.6</v>
      </c>
      <c r="H75" s="162">
        <f>'no mortgage'!G75+'additional costs mortgage'!G75*'partial 70% mortgage'!A75</f>
        <v>17500</v>
      </c>
      <c r="I75" s="198">
        <f t="shared" si="115"/>
        <v>41902.5</v>
      </c>
      <c r="J75" s="162">
        <f t="shared" si="116"/>
        <v>24402.5</v>
      </c>
      <c r="K75" s="162">
        <f t="shared" si="117"/>
        <v>22626.9</v>
      </c>
      <c r="L75" s="202">
        <v>0.16</v>
      </c>
      <c r="M75" s="203"/>
      <c r="N75" s="307">
        <f t="shared" si="118"/>
        <v>0.083805</v>
      </c>
      <c r="O75" s="308">
        <f t="shared" si="119"/>
        <v>0.035</v>
      </c>
      <c r="P75" s="308">
        <f t="shared" si="120"/>
        <v>0.0035512</v>
      </c>
      <c r="Q75" s="309">
        <f t="shared" si="121"/>
        <v>0.045253800000000004</v>
      </c>
      <c r="R75" s="310">
        <f t="shared" si="122"/>
        <v>0.4176361792255832</v>
      </c>
      <c r="S75" s="311">
        <f t="shared" si="123"/>
        <v>0.04237455999045403</v>
      </c>
      <c r="T75" s="312">
        <f t="shared" si="124"/>
        <v>0.5399892607839628</v>
      </c>
      <c r="U75" s="310">
        <f t="shared" si="125"/>
        <v>0.883903672177806</v>
      </c>
      <c r="V75" s="311"/>
      <c r="W75" s="312">
        <f t="shared" si="126"/>
        <v>0.11609632782219394</v>
      </c>
      <c r="X75" s="310">
        <f t="shared" si="127"/>
        <v>0.04</v>
      </c>
      <c r="Y75" s="311"/>
      <c r="Z75" s="312">
        <f t="shared" si="128"/>
        <v>0.0052538</v>
      </c>
      <c r="AA75" s="311"/>
      <c r="AC75" s="299" t="s">
        <v>7</v>
      </c>
      <c r="AD75" s="162">
        <v>250000</v>
      </c>
      <c r="AE75" s="162">
        <f aca="true" t="shared" si="134" ref="AE75:AJ75">D47</f>
        <v>3750</v>
      </c>
      <c r="AF75" s="162">
        <f t="shared" si="134"/>
        <v>175</v>
      </c>
      <c r="AG75" s="162">
        <f t="shared" si="134"/>
        <v>1430</v>
      </c>
      <c r="AH75" s="162">
        <f t="shared" si="134"/>
        <v>50</v>
      </c>
      <c r="AI75" s="162">
        <f t="shared" si="134"/>
        <v>28543.4</v>
      </c>
      <c r="AJ75" s="198">
        <f t="shared" si="134"/>
        <v>33948.4</v>
      </c>
    </row>
    <row r="76" spans="1:36" ht="15.75">
      <c r="A76" s="305">
        <v>0.7</v>
      </c>
      <c r="B76" s="305"/>
      <c r="C76" s="299" t="s">
        <v>15</v>
      </c>
      <c r="D76" s="162">
        <f>'no mortgage'!C76+'additional costs mortgage'!C76*'partial 70% mortgage'!A76</f>
        <v>20000</v>
      </c>
      <c r="E76" s="162">
        <f>'no mortgage'!D76+'additional costs mortgage'!D76*'partial 70% mortgage'!A76</f>
        <v>500</v>
      </c>
      <c r="F76" s="162">
        <f>'no mortgage'!E76+'additional costs mortgage'!E76*'partial 70% mortgage'!A76</f>
        <v>11990</v>
      </c>
      <c r="G76" s="162">
        <f>'no mortgage'!F76+'additional costs mortgage'!F76*'partial 70% mortgage'!A76</f>
        <v>5113</v>
      </c>
      <c r="H76" s="162">
        <f>'no mortgage'!G76+'additional costs mortgage'!G76*'partial 70% mortgage'!A76</f>
        <v>56300</v>
      </c>
      <c r="I76" s="198">
        <f t="shared" si="115"/>
        <v>93903</v>
      </c>
      <c r="J76" s="162">
        <f t="shared" si="116"/>
        <v>37603</v>
      </c>
      <c r="K76" s="162">
        <f t="shared" si="117"/>
        <v>32490</v>
      </c>
      <c r="L76" s="202">
        <v>0.19</v>
      </c>
      <c r="M76" s="203"/>
      <c r="N76" s="307">
        <f t="shared" si="118"/>
        <v>0.187806</v>
      </c>
      <c r="O76" s="308">
        <f t="shared" si="119"/>
        <v>0.1126</v>
      </c>
      <c r="P76" s="308">
        <f t="shared" si="120"/>
        <v>0.010226</v>
      </c>
      <c r="Q76" s="309">
        <f t="shared" si="121"/>
        <v>0.06498</v>
      </c>
      <c r="R76" s="310">
        <f t="shared" si="122"/>
        <v>0.5995548598021363</v>
      </c>
      <c r="S76" s="311">
        <f t="shared" si="123"/>
        <v>0.054449804585582996</v>
      </c>
      <c r="T76" s="312">
        <f t="shared" si="124"/>
        <v>0.34599533561228074</v>
      </c>
      <c r="U76" s="310">
        <f t="shared" si="125"/>
        <v>0.6155740227762388</v>
      </c>
      <c r="V76" s="311">
        <f>E76/K76</f>
        <v>0.015389350569405972</v>
      </c>
      <c r="W76" s="312">
        <f t="shared" si="126"/>
        <v>0.36903662665435516</v>
      </c>
      <c r="X76" s="310">
        <f t="shared" si="127"/>
        <v>0.04</v>
      </c>
      <c r="Y76" s="311">
        <f>E76/500000</f>
        <v>0.001</v>
      </c>
      <c r="Z76" s="312">
        <f t="shared" si="128"/>
        <v>0.02398</v>
      </c>
      <c r="AA76" s="311"/>
      <c r="AC76" s="299" t="s">
        <v>7</v>
      </c>
      <c r="AD76" s="162">
        <v>500000</v>
      </c>
      <c r="AE76" s="162">
        <f aca="true" t="shared" si="135" ref="AE76:AJ76">D81</f>
        <v>6250</v>
      </c>
      <c r="AF76" s="162">
        <f t="shared" si="135"/>
        <v>175</v>
      </c>
      <c r="AG76" s="162">
        <f t="shared" si="135"/>
        <v>2050</v>
      </c>
      <c r="AH76" s="162">
        <f t="shared" si="135"/>
        <v>50</v>
      </c>
      <c r="AI76" s="162">
        <f t="shared" si="135"/>
        <v>57087.5</v>
      </c>
      <c r="AJ76" s="198">
        <f t="shared" si="135"/>
        <v>65612.5</v>
      </c>
    </row>
    <row r="77" spans="1:36" ht="15.75">
      <c r="A77" s="305">
        <v>0.7</v>
      </c>
      <c r="B77" s="305"/>
      <c r="C77" s="299" t="s">
        <v>19</v>
      </c>
      <c r="D77" s="162">
        <f>'no mortgage'!C77+'additional costs mortgage'!C77*'partial 70% mortgage'!A77</f>
        <v>15000</v>
      </c>
      <c r="E77" s="197" t="s">
        <v>43</v>
      </c>
      <c r="F77" s="162">
        <f>'no mortgage'!E77+'additional costs mortgage'!E77*'partial 70% mortgage'!A77</f>
        <v>4645</v>
      </c>
      <c r="G77" s="162">
        <f>'no mortgage'!F77+'additional costs mortgage'!F77*'partial 70% mortgage'!A77</f>
        <v>48.8</v>
      </c>
      <c r="H77" s="162">
        <f>'no mortgage'!G77+'additional costs mortgage'!G77*'partial 70% mortgage'!A77</f>
        <v>29420</v>
      </c>
      <c r="I77" s="198">
        <f t="shared" si="115"/>
        <v>49113.8</v>
      </c>
      <c r="J77" s="162">
        <f t="shared" si="116"/>
        <v>19693.8</v>
      </c>
      <c r="K77" s="162">
        <f t="shared" si="117"/>
        <v>19645</v>
      </c>
      <c r="L77" s="202">
        <v>0.2</v>
      </c>
      <c r="M77" s="203"/>
      <c r="N77" s="307">
        <f t="shared" si="118"/>
        <v>0.09822760000000001</v>
      </c>
      <c r="O77" s="308">
        <f t="shared" si="119"/>
        <v>0.05884</v>
      </c>
      <c r="P77" s="308">
        <f t="shared" si="120"/>
        <v>9.76E-05</v>
      </c>
      <c r="Q77" s="309">
        <f t="shared" si="121"/>
        <v>0.03929</v>
      </c>
      <c r="R77" s="310">
        <f t="shared" si="122"/>
        <v>0.5990169768985498</v>
      </c>
      <c r="S77" s="311">
        <f t="shared" si="123"/>
        <v>0.0009936107570580977</v>
      </c>
      <c r="T77" s="312">
        <f t="shared" si="124"/>
        <v>0.399989412344392</v>
      </c>
      <c r="U77" s="310">
        <f t="shared" si="125"/>
        <v>0.7635530669381522</v>
      </c>
      <c r="V77" s="311"/>
      <c r="W77" s="312">
        <f t="shared" si="126"/>
        <v>0.2364469330618478</v>
      </c>
      <c r="X77" s="310"/>
      <c r="Y77" s="311"/>
      <c r="Z77" s="312">
        <f t="shared" si="128"/>
        <v>0.00929</v>
      </c>
      <c r="AA77" s="311"/>
      <c r="AC77" s="316" t="s">
        <v>7</v>
      </c>
      <c r="AD77" s="182" t="s">
        <v>58</v>
      </c>
      <c r="AE77" s="206">
        <f aca="true" t="shared" si="136" ref="AE77:AJ77">D110</f>
        <v>2000</v>
      </c>
      <c r="AF77" s="206">
        <f t="shared" si="136"/>
        <v>175</v>
      </c>
      <c r="AG77" s="206">
        <f t="shared" si="136"/>
        <v>677</v>
      </c>
      <c r="AH77" s="206">
        <f t="shared" si="136"/>
        <v>50</v>
      </c>
      <c r="AI77" s="206">
        <f t="shared" si="136"/>
        <v>12017.5</v>
      </c>
      <c r="AJ77" s="208">
        <f t="shared" si="136"/>
        <v>14919.5</v>
      </c>
    </row>
    <row r="78" spans="1:36" ht="15.75">
      <c r="A78" s="305">
        <v>0.7</v>
      </c>
      <c r="B78" s="305"/>
      <c r="C78" s="299" t="s">
        <v>4</v>
      </c>
      <c r="D78" s="162">
        <f>'no mortgage'!C78+'additional costs mortgage'!C78*'partial 70% mortgage'!A78</f>
        <v>6500</v>
      </c>
      <c r="E78" s="162">
        <f>'no mortgage'!D78+'additional costs mortgage'!D78*'partial 70% mortgage'!A78</f>
        <v>600</v>
      </c>
      <c r="F78" s="162">
        <f>'no mortgage'!E78+'additional costs mortgage'!E78*'partial 70% mortgage'!A78</f>
        <v>4000</v>
      </c>
      <c r="G78" s="162">
        <f>'no mortgage'!F78+'additional costs mortgage'!F78*'partial 70% mortgage'!A78</f>
        <v>625</v>
      </c>
      <c r="H78" s="162">
        <f>'no mortgage'!G78+'additional costs mortgage'!G78*'partial 70% mortgage'!A78</f>
        <v>37500</v>
      </c>
      <c r="I78" s="198">
        <f t="shared" si="115"/>
        <v>49225</v>
      </c>
      <c r="J78" s="162">
        <f t="shared" si="116"/>
        <v>11725</v>
      </c>
      <c r="K78" s="162">
        <f t="shared" si="117"/>
        <v>11100</v>
      </c>
      <c r="L78" s="202">
        <v>0.21</v>
      </c>
      <c r="M78" s="203"/>
      <c r="N78" s="307">
        <f t="shared" si="118"/>
        <v>0.09845</v>
      </c>
      <c r="O78" s="308">
        <f t="shared" si="119"/>
        <v>0.075</v>
      </c>
      <c r="P78" s="308">
        <f t="shared" si="120"/>
        <v>0.00125</v>
      </c>
      <c r="Q78" s="309">
        <f t="shared" si="121"/>
        <v>0.0222</v>
      </c>
      <c r="R78" s="310">
        <f t="shared" si="122"/>
        <v>0.7618080243778568</v>
      </c>
      <c r="S78" s="311">
        <f t="shared" si="123"/>
        <v>0.012696800406297613</v>
      </c>
      <c r="T78" s="312">
        <f t="shared" si="124"/>
        <v>0.2254951752158456</v>
      </c>
      <c r="U78" s="310">
        <f t="shared" si="125"/>
        <v>0.5855855855855856</v>
      </c>
      <c r="V78" s="311">
        <f>E78/K78</f>
        <v>0.05405405405405406</v>
      </c>
      <c r="W78" s="312">
        <f t="shared" si="126"/>
        <v>0.36036036036036034</v>
      </c>
      <c r="X78" s="310">
        <f>D78/500000</f>
        <v>0.013</v>
      </c>
      <c r="Y78" s="311">
        <f>E78/500000</f>
        <v>0.0012</v>
      </c>
      <c r="Z78" s="312">
        <f t="shared" si="128"/>
        <v>0.008</v>
      </c>
      <c r="AA78" s="311"/>
      <c r="AC78" s="299"/>
      <c r="AD78" s="300"/>
      <c r="AE78" s="300"/>
      <c r="AF78" s="300"/>
      <c r="AG78" s="300"/>
      <c r="AH78" s="300"/>
      <c r="AI78" s="300"/>
      <c r="AJ78" s="314"/>
    </row>
    <row r="79" spans="1:36" ht="15.75">
      <c r="A79" s="305">
        <v>0.7</v>
      </c>
      <c r="B79" s="305"/>
      <c r="C79" s="299" t="s">
        <v>5</v>
      </c>
      <c r="D79" s="162">
        <f>'no mortgage'!C79+'additional costs mortgage'!C79*'partial 70% mortgage'!A79</f>
        <v>30000</v>
      </c>
      <c r="E79" s="197" t="s">
        <v>43</v>
      </c>
      <c r="F79" s="162">
        <f>'no mortgage'!E79+'additional costs mortgage'!E79*'partial 70% mortgage'!A79</f>
        <v>4745</v>
      </c>
      <c r="G79" s="162">
        <f>'no mortgage'!F79+'additional costs mortgage'!F79*'partial 70% mortgage'!A79</f>
        <v>139.297</v>
      </c>
      <c r="H79" s="162">
        <f>'no mortgage'!G79+'additional costs mortgage'!G79*'partial 70% mortgage'!A79</f>
        <v>8015.6</v>
      </c>
      <c r="I79" s="198">
        <f t="shared" si="115"/>
        <v>42899.897</v>
      </c>
      <c r="J79" s="162">
        <f t="shared" si="116"/>
        <v>34884.297</v>
      </c>
      <c r="K79" s="162">
        <f t="shared" si="117"/>
        <v>34745</v>
      </c>
      <c r="L79" s="202">
        <v>0.2</v>
      </c>
      <c r="M79" s="203"/>
      <c r="N79" s="307">
        <f t="shared" si="118"/>
        <v>0.085799794</v>
      </c>
      <c r="O79" s="308">
        <f t="shared" si="119"/>
        <v>0.016031200000000002</v>
      </c>
      <c r="P79" s="308">
        <f t="shared" si="120"/>
        <v>0.000278594</v>
      </c>
      <c r="Q79" s="309">
        <f t="shared" si="121"/>
        <v>0.06949</v>
      </c>
      <c r="R79" s="310">
        <f t="shared" si="122"/>
        <v>0.1868442714442881</v>
      </c>
      <c r="S79" s="311">
        <f t="shared" si="123"/>
        <v>0.0032470241129017165</v>
      </c>
      <c r="T79" s="312">
        <f t="shared" si="124"/>
        <v>0.8099087044428103</v>
      </c>
      <c r="U79" s="310">
        <f t="shared" si="125"/>
        <v>0.8634335875665563</v>
      </c>
      <c r="V79" s="311"/>
      <c r="W79" s="312">
        <f t="shared" si="126"/>
        <v>0.13656641243344367</v>
      </c>
      <c r="X79" s="310">
        <f aca="true" t="shared" si="137" ref="X79:X87">D79/500000</f>
        <v>0.06</v>
      </c>
      <c r="Y79" s="311"/>
      <c r="Z79" s="312">
        <f t="shared" si="128"/>
        <v>0.00949</v>
      </c>
      <c r="AA79" s="311"/>
      <c r="AC79" s="233" t="s">
        <v>8</v>
      </c>
      <c r="AD79" s="162">
        <v>100000</v>
      </c>
      <c r="AE79" s="162">
        <f aca="true" t="shared" si="138" ref="AE79:AJ79">D22</f>
        <v>1000</v>
      </c>
      <c r="AF79" s="162">
        <f t="shared" si="138"/>
        <v>378</v>
      </c>
      <c r="AG79" s="162">
        <f t="shared" si="138"/>
        <v>1437.9</v>
      </c>
      <c r="AH79" s="162">
        <f t="shared" si="138"/>
        <v>251.1</v>
      </c>
      <c r="AI79" s="162">
        <f t="shared" si="138"/>
        <v>0</v>
      </c>
      <c r="AJ79" s="198">
        <f t="shared" si="138"/>
        <v>3067</v>
      </c>
    </row>
    <row r="80" spans="1:36" ht="15.75">
      <c r="A80" s="305">
        <v>0.7</v>
      </c>
      <c r="B80" s="305"/>
      <c r="C80" s="299" t="s">
        <v>6</v>
      </c>
      <c r="D80" s="162">
        <f>'no mortgage'!C80+'additional costs mortgage'!C80*'partial 70% mortgage'!A80</f>
        <v>9250</v>
      </c>
      <c r="E80" s="197" t="s">
        <v>43</v>
      </c>
      <c r="F80" s="162">
        <f>'no mortgage'!E80+'additional costs mortgage'!E80*'partial 70% mortgage'!A80</f>
        <v>1849.1</v>
      </c>
      <c r="G80" s="162">
        <f>'no mortgage'!F80+'additional costs mortgage'!F80*'partial 70% mortgage'!A80</f>
        <v>164.1</v>
      </c>
      <c r="H80" s="162">
        <f>'no mortgage'!G80+'additional costs mortgage'!G80*'partial 70% mortgage'!A80</f>
        <v>30000</v>
      </c>
      <c r="I80" s="198">
        <f t="shared" si="115"/>
        <v>41263.2</v>
      </c>
      <c r="J80" s="162">
        <f t="shared" si="116"/>
        <v>11263.2</v>
      </c>
      <c r="K80" s="162">
        <f t="shared" si="117"/>
        <v>11099.1</v>
      </c>
      <c r="L80" s="202">
        <v>0.19</v>
      </c>
      <c r="M80" s="203"/>
      <c r="N80" s="307">
        <f t="shared" si="118"/>
        <v>0.0825264</v>
      </c>
      <c r="O80" s="308">
        <f t="shared" si="119"/>
        <v>0.06</v>
      </c>
      <c r="P80" s="308">
        <f t="shared" si="120"/>
        <v>0.0003282</v>
      </c>
      <c r="Q80" s="309">
        <f t="shared" si="121"/>
        <v>0.0221982</v>
      </c>
      <c r="R80" s="310">
        <f t="shared" si="122"/>
        <v>0.7270400744489037</v>
      </c>
      <c r="S80" s="311">
        <f t="shared" si="123"/>
        <v>0.003976909207235503</v>
      </c>
      <c r="T80" s="312">
        <f t="shared" si="124"/>
        <v>0.2689830163438609</v>
      </c>
      <c r="U80" s="310">
        <f t="shared" si="125"/>
        <v>0.8334009063797966</v>
      </c>
      <c r="V80" s="311"/>
      <c r="W80" s="312">
        <f t="shared" si="126"/>
        <v>0.16659909362020342</v>
      </c>
      <c r="X80" s="310">
        <f t="shared" si="137"/>
        <v>0.0185</v>
      </c>
      <c r="Y80" s="311"/>
      <c r="Z80" s="312">
        <f t="shared" si="128"/>
        <v>0.0036982</v>
      </c>
      <c r="AA80" s="311"/>
      <c r="AC80" s="315" t="s">
        <v>8</v>
      </c>
      <c r="AD80" s="162">
        <v>250000</v>
      </c>
      <c r="AE80" s="162">
        <f aca="true" t="shared" si="139" ref="AE80:AJ80">D49</f>
        <v>2500</v>
      </c>
      <c r="AF80" s="162">
        <f t="shared" si="139"/>
        <v>600</v>
      </c>
      <c r="AG80" s="162">
        <f t="shared" si="139"/>
        <v>1735.3</v>
      </c>
      <c r="AH80" s="162">
        <f t="shared" si="139"/>
        <v>577.1</v>
      </c>
      <c r="AI80" s="162">
        <f t="shared" si="139"/>
        <v>2506</v>
      </c>
      <c r="AJ80" s="198">
        <f t="shared" si="139"/>
        <v>7918.400000000001</v>
      </c>
    </row>
    <row r="81" spans="1:36" ht="15.75">
      <c r="A81" s="305">
        <v>0.7</v>
      </c>
      <c r="B81" s="305"/>
      <c r="C81" s="299" t="s">
        <v>7</v>
      </c>
      <c r="D81" s="162">
        <f>'no mortgage'!C81+'additional costs mortgage'!C81*'partial 70% mortgage'!A81</f>
        <v>6250</v>
      </c>
      <c r="E81" s="162">
        <f>'additional costs mortgage'!D81*'partial 70% mortgage'!A81</f>
        <v>175</v>
      </c>
      <c r="F81" s="162">
        <f>'no mortgage'!E81+'additional costs mortgage'!E81*'partial 70% mortgage'!A81</f>
        <v>2050</v>
      </c>
      <c r="G81" s="162">
        <f>'no mortgage'!F81+'additional costs mortgage'!F81*'partial 70% mortgage'!A81</f>
        <v>50</v>
      </c>
      <c r="H81" s="162">
        <f>'no mortgage'!G81+'additional costs mortgage'!G81*'partial 70% mortgage'!A81</f>
        <v>57087.5</v>
      </c>
      <c r="I81" s="198">
        <f t="shared" si="115"/>
        <v>65612.5</v>
      </c>
      <c r="J81" s="162">
        <f t="shared" si="116"/>
        <v>8525</v>
      </c>
      <c r="K81" s="162">
        <f t="shared" si="117"/>
        <v>8475</v>
      </c>
      <c r="L81" s="202">
        <v>0.22</v>
      </c>
      <c r="M81" s="203"/>
      <c r="N81" s="307">
        <f t="shared" si="118"/>
        <v>0.131225</v>
      </c>
      <c r="O81" s="308">
        <f t="shared" si="119"/>
        <v>0.114175</v>
      </c>
      <c r="P81" s="308">
        <f t="shared" si="120"/>
        <v>0.0001</v>
      </c>
      <c r="Q81" s="309">
        <f t="shared" si="121"/>
        <v>0.01695</v>
      </c>
      <c r="R81" s="310">
        <f t="shared" si="122"/>
        <v>0.8700704896170699</v>
      </c>
      <c r="S81" s="311">
        <f t="shared" si="123"/>
        <v>0.0007620499142693847</v>
      </c>
      <c r="T81" s="312">
        <f t="shared" si="124"/>
        <v>0.1291674604686607</v>
      </c>
      <c r="U81" s="310">
        <f t="shared" si="125"/>
        <v>0.7374631268436578</v>
      </c>
      <c r="V81" s="311">
        <f>E81/K81</f>
        <v>0.02064896755162242</v>
      </c>
      <c r="W81" s="312">
        <f t="shared" si="126"/>
        <v>0.24188790560471976</v>
      </c>
      <c r="X81" s="310">
        <f t="shared" si="137"/>
        <v>0.0125</v>
      </c>
      <c r="Y81" s="311">
        <f>E81/500000</f>
        <v>0.00035</v>
      </c>
      <c r="Z81" s="312">
        <f t="shared" si="128"/>
        <v>0.0041</v>
      </c>
      <c r="AA81" s="311"/>
      <c r="AC81" s="315" t="s">
        <v>8</v>
      </c>
      <c r="AD81" s="162">
        <v>500000</v>
      </c>
      <c r="AE81" s="162">
        <f aca="true" t="shared" si="140" ref="AE81:AJ81">D83</f>
        <v>5000</v>
      </c>
      <c r="AF81" s="162">
        <f t="shared" si="140"/>
        <v>741</v>
      </c>
      <c r="AG81" s="162">
        <f t="shared" si="140"/>
        <v>2327.6</v>
      </c>
      <c r="AH81" s="162">
        <f t="shared" si="140"/>
        <v>838.4</v>
      </c>
      <c r="AI81" s="162">
        <f t="shared" si="140"/>
        <v>15036</v>
      </c>
      <c r="AJ81" s="198">
        <f t="shared" si="140"/>
        <v>23943</v>
      </c>
    </row>
    <row r="82" spans="1:36" ht="15.75">
      <c r="A82" s="305">
        <v>0.7</v>
      </c>
      <c r="B82" s="305"/>
      <c r="C82" s="299" t="s">
        <v>189</v>
      </c>
      <c r="D82" s="162">
        <f>'no mortgage'!C82+'additional costs mortgage'!C82*'partial 70% mortgage'!A82</f>
        <v>18750</v>
      </c>
      <c r="E82" s="162">
        <f>'additional costs mortgage'!D82*'partial 70% mortgage'!A82</f>
        <v>192.5</v>
      </c>
      <c r="F82" s="162">
        <f>'no mortgage'!E82+'additional costs mortgage'!E82*'partial 70% mortgage'!A82</f>
        <v>616.0350000000001</v>
      </c>
      <c r="G82" s="162">
        <f>'no mortgage'!F82+'additional costs mortgage'!F82*'partial 70% mortgage'!A82</f>
        <v>219.5</v>
      </c>
      <c r="H82" s="162">
        <f>'no mortgage'!G82+'additional costs mortgage'!G82*'partial 70% mortgage'!A82</f>
        <v>6100</v>
      </c>
      <c r="I82" s="198">
        <f>SUM(D82:H82)</f>
        <v>25878.035</v>
      </c>
      <c r="J82" s="162">
        <f>SUM(D82:G82)</f>
        <v>19778.035</v>
      </c>
      <c r="K82" s="162">
        <f>SUM(D82:F82)</f>
        <v>19558.535</v>
      </c>
      <c r="L82" s="202">
        <v>0.21</v>
      </c>
      <c r="M82" s="203"/>
      <c r="N82" s="307">
        <f>I82/500000</f>
        <v>0.05175607</v>
      </c>
      <c r="O82" s="308">
        <f>H82/500000</f>
        <v>0.0122</v>
      </c>
      <c r="P82" s="308">
        <f>G82/500000</f>
        <v>0.000439</v>
      </c>
      <c r="Q82" s="309">
        <f>K82/500000</f>
        <v>0.03911707</v>
      </c>
      <c r="R82" s="310">
        <f>H82/I82</f>
        <v>0.23572114343303113</v>
      </c>
      <c r="S82" s="311">
        <f>G82/I82</f>
        <v>0.008482096882549235</v>
      </c>
      <c r="T82" s="312">
        <f>K82/I82</f>
        <v>0.7557967596844196</v>
      </c>
      <c r="U82" s="310">
        <f>D82/K82</f>
        <v>0.9586607585895365</v>
      </c>
      <c r="V82" s="311">
        <f>E82/K82</f>
        <v>0.009842250454852574</v>
      </c>
      <c r="W82" s="312">
        <f>F82/K82</f>
        <v>0.03149699095561095</v>
      </c>
      <c r="X82" s="310">
        <f>D82/500000</f>
        <v>0.0375</v>
      </c>
      <c r="Y82" s="311">
        <f>E82/500000</f>
        <v>0.000385</v>
      </c>
      <c r="Z82" s="312">
        <f>F82/500000</f>
        <v>0.0012320700000000003</v>
      </c>
      <c r="AA82" s="311"/>
      <c r="AC82" s="326" t="s">
        <v>8</v>
      </c>
      <c r="AD82" s="182" t="s">
        <v>58</v>
      </c>
      <c r="AE82" s="206">
        <f aca="true" t="shared" si="141" ref="AE82:AJ82">D112</f>
        <v>1938.6000000000001</v>
      </c>
      <c r="AF82" s="206">
        <f t="shared" si="141"/>
        <v>516.9128000000001</v>
      </c>
      <c r="AG82" s="206">
        <f t="shared" si="141"/>
        <v>1623.9930933333335</v>
      </c>
      <c r="AH82" s="206">
        <f t="shared" si="141"/>
        <v>455.08906666666667</v>
      </c>
      <c r="AI82" s="206">
        <f t="shared" si="141"/>
        <v>1938.6000000000001</v>
      </c>
      <c r="AJ82" s="208">
        <f t="shared" si="141"/>
        <v>6473.194960000001</v>
      </c>
    </row>
    <row r="83" spans="1:36" ht="15.75">
      <c r="A83" s="305">
        <v>0.7</v>
      </c>
      <c r="B83" s="305"/>
      <c r="C83" s="315" t="s">
        <v>8</v>
      </c>
      <c r="D83" s="162">
        <f>'no mortgage'!C83+'additional costs mortgage'!C83*'partial 70% mortgage'!A83</f>
        <v>5000</v>
      </c>
      <c r="E83" s="162">
        <f>'no mortgage'!D83+'additional costs mortgage'!D83*'partial 70% mortgage'!A83</f>
        <v>741</v>
      </c>
      <c r="F83" s="162">
        <f>'no mortgage'!E83+'additional costs mortgage'!E83*'partial 70% mortgage'!A83</f>
        <v>2327.6</v>
      </c>
      <c r="G83" s="162">
        <f>'no mortgage'!F83+'additional costs mortgage'!F83*'partial 70% mortgage'!A83</f>
        <v>838.4</v>
      </c>
      <c r="H83" s="162">
        <f>'no mortgage'!G83+'additional costs mortgage'!G83*'partial 70% mortgage'!A83</f>
        <v>15036</v>
      </c>
      <c r="I83" s="198">
        <f t="shared" si="115"/>
        <v>23943</v>
      </c>
      <c r="J83" s="162">
        <f t="shared" si="116"/>
        <v>8907</v>
      </c>
      <c r="K83" s="162">
        <f t="shared" si="117"/>
        <v>8068.6</v>
      </c>
      <c r="L83" s="202">
        <v>0.175</v>
      </c>
      <c r="M83" s="203"/>
      <c r="N83" s="307">
        <f t="shared" si="118"/>
        <v>0.047886</v>
      </c>
      <c r="O83" s="308">
        <f t="shared" si="119"/>
        <v>0.030072</v>
      </c>
      <c r="P83" s="308">
        <f t="shared" si="120"/>
        <v>0.0016768</v>
      </c>
      <c r="Q83" s="309">
        <f t="shared" si="121"/>
        <v>0.0161372</v>
      </c>
      <c r="R83" s="310">
        <f t="shared" si="122"/>
        <v>0.6279914797644406</v>
      </c>
      <c r="S83" s="311">
        <f t="shared" si="123"/>
        <v>0.03501649751493129</v>
      </c>
      <c r="T83" s="312">
        <f t="shared" si="124"/>
        <v>0.33699202272062817</v>
      </c>
      <c r="U83" s="310">
        <f t="shared" si="125"/>
        <v>0.6196861909129217</v>
      </c>
      <c r="V83" s="311">
        <f>E83/K83</f>
        <v>0.091837493493295</v>
      </c>
      <c r="W83" s="312">
        <f t="shared" si="126"/>
        <v>0.2884763155937833</v>
      </c>
      <c r="X83" s="310">
        <f t="shared" si="137"/>
        <v>0.01</v>
      </c>
      <c r="Y83" s="311">
        <f>E83/500000</f>
        <v>0.001482</v>
      </c>
      <c r="Z83" s="312">
        <f t="shared" si="128"/>
        <v>0.0046552</v>
      </c>
      <c r="AA83" s="311"/>
      <c r="AC83" s="299"/>
      <c r="AD83" s="300"/>
      <c r="AE83" s="300"/>
      <c r="AF83" s="300"/>
      <c r="AG83" s="300"/>
      <c r="AH83" s="300"/>
      <c r="AI83" s="300"/>
      <c r="AJ83" s="314"/>
    </row>
    <row r="84" spans="1:36" ht="15.75">
      <c r="A84" s="305">
        <v>0.7</v>
      </c>
      <c r="B84" s="305"/>
      <c r="C84" s="315" t="s">
        <v>188</v>
      </c>
      <c r="D84" s="162">
        <f>'no mortgage'!C84+'additional costs mortgage'!C84*'partial 70% mortgage'!A84</f>
        <v>2150</v>
      </c>
      <c r="E84" s="162">
        <f>'no mortgage'!D84+'additional costs mortgage'!D84*'partial 70% mortgage'!A84</f>
        <v>300</v>
      </c>
      <c r="F84" s="162">
        <f>'no mortgage'!E84+'additional costs mortgage'!E84*'partial 70% mortgage'!A84</f>
        <v>420</v>
      </c>
      <c r="G84" s="162">
        <f>'no mortgage'!F84+'additional costs mortgage'!F84*'partial 70% mortgage'!A84</f>
        <v>60</v>
      </c>
      <c r="H84" s="162">
        <f>'no mortgage'!G84+'additional costs mortgage'!G84*'partial 70% mortgage'!A84</f>
        <v>0</v>
      </c>
      <c r="I84" s="198">
        <f>SUM(D84:H84)</f>
        <v>2930</v>
      </c>
      <c r="J84" s="162">
        <f>SUM(D84:G84)</f>
        <v>2930</v>
      </c>
      <c r="K84" s="162">
        <f>SUM(D84:F84)</f>
        <v>2870</v>
      </c>
      <c r="L84" s="202">
        <v>0.19</v>
      </c>
      <c r="M84" s="203"/>
      <c r="N84" s="307">
        <f>I84/500000</f>
        <v>0.00586</v>
      </c>
      <c r="O84" s="308">
        <f>H84/500000</f>
        <v>0</v>
      </c>
      <c r="P84" s="308">
        <f>G84/500000</f>
        <v>0.00012</v>
      </c>
      <c r="Q84" s="309">
        <f>K84/500000</f>
        <v>0.00574</v>
      </c>
      <c r="R84" s="310">
        <f>H84/I84</f>
        <v>0</v>
      </c>
      <c r="S84" s="311">
        <f>G84/I84</f>
        <v>0.020477815699658702</v>
      </c>
      <c r="T84" s="312">
        <f>K84/I84</f>
        <v>0.9795221843003413</v>
      </c>
      <c r="U84" s="310">
        <f>D84/K84</f>
        <v>0.7491289198606271</v>
      </c>
      <c r="V84" s="311">
        <f>E84/K84</f>
        <v>0.10452961672473868</v>
      </c>
      <c r="W84" s="312">
        <f>F84/K84</f>
        <v>0.14634146341463414</v>
      </c>
      <c r="X84" s="310">
        <f>D84/500000</f>
        <v>0.0043</v>
      </c>
      <c r="Y84" s="311">
        <f>E84/500000</f>
        <v>0.0006</v>
      </c>
      <c r="Z84" s="312">
        <f>F84/500000</f>
        <v>0.00084</v>
      </c>
      <c r="AA84" s="311"/>
      <c r="AC84" s="196" t="s">
        <v>16</v>
      </c>
      <c r="AD84" s="162">
        <v>100000</v>
      </c>
      <c r="AE84" s="162">
        <f aca="true" t="shared" si="142" ref="AE84:AJ84">D24</f>
        <v>4000</v>
      </c>
      <c r="AF84" s="197" t="str">
        <f t="shared" si="142"/>
        <v>n.r.</v>
      </c>
      <c r="AG84" s="162">
        <f t="shared" si="142"/>
        <v>810</v>
      </c>
      <c r="AH84" s="162">
        <f t="shared" si="142"/>
        <v>123</v>
      </c>
      <c r="AI84" s="162">
        <f t="shared" si="142"/>
        <v>2000</v>
      </c>
      <c r="AJ84" s="198">
        <f t="shared" si="142"/>
        <v>6933</v>
      </c>
    </row>
    <row r="85" spans="1:36" ht="15.75">
      <c r="A85" s="305">
        <v>0.7</v>
      </c>
      <c r="B85" s="305"/>
      <c r="C85" s="299" t="s">
        <v>16</v>
      </c>
      <c r="D85" s="162">
        <f>'no mortgage'!C85+'additional costs mortgage'!C85*'partial 70% mortgage'!A85</f>
        <v>20000</v>
      </c>
      <c r="E85" s="197" t="s">
        <v>43</v>
      </c>
      <c r="F85" s="162">
        <f>'no mortgage'!E85+'additional costs mortgage'!E85*'partial 70% mortgage'!A85</f>
        <v>1377</v>
      </c>
      <c r="G85" s="162">
        <f>'no mortgage'!F85+'additional costs mortgage'!F85*'partial 70% mortgage'!A85</f>
        <v>123</v>
      </c>
      <c r="H85" s="162">
        <f>'no mortgage'!G85+'additional costs mortgage'!G85*'partial 70% mortgage'!A85</f>
        <v>10000</v>
      </c>
      <c r="I85" s="198">
        <f t="shared" si="115"/>
        <v>31500</v>
      </c>
      <c r="J85" s="162">
        <f t="shared" si="116"/>
        <v>21500</v>
      </c>
      <c r="K85" s="162">
        <f t="shared" si="117"/>
        <v>21377</v>
      </c>
      <c r="L85" s="202">
        <v>0.19</v>
      </c>
      <c r="M85" s="203"/>
      <c r="N85" s="307">
        <f t="shared" si="118"/>
        <v>0.063</v>
      </c>
      <c r="O85" s="308">
        <f t="shared" si="119"/>
        <v>0.02</v>
      </c>
      <c r="P85" s="308">
        <f t="shared" si="120"/>
        <v>0.000246</v>
      </c>
      <c r="Q85" s="309">
        <f t="shared" si="121"/>
        <v>0.042754</v>
      </c>
      <c r="R85" s="310">
        <f t="shared" si="122"/>
        <v>0.31746031746031744</v>
      </c>
      <c r="S85" s="311">
        <f t="shared" si="123"/>
        <v>0.003904761904761905</v>
      </c>
      <c r="T85" s="312">
        <f t="shared" si="124"/>
        <v>0.6786349206349206</v>
      </c>
      <c r="U85" s="310">
        <f t="shared" si="125"/>
        <v>0.9355849745053094</v>
      </c>
      <c r="V85" s="311"/>
      <c r="W85" s="312">
        <f t="shared" si="126"/>
        <v>0.06441502549469055</v>
      </c>
      <c r="X85" s="310">
        <f t="shared" si="137"/>
        <v>0.04</v>
      </c>
      <c r="Y85" s="311"/>
      <c r="Z85" s="312">
        <f t="shared" si="128"/>
        <v>0.002754</v>
      </c>
      <c r="AA85" s="311"/>
      <c r="AC85" s="299" t="s">
        <v>16</v>
      </c>
      <c r="AD85" s="162">
        <v>250000</v>
      </c>
      <c r="AE85" s="162">
        <f aca="true" t="shared" si="143" ref="AE85:AJ85">D51</f>
        <v>10000</v>
      </c>
      <c r="AF85" s="197" t="str">
        <f t="shared" si="143"/>
        <v>n.r.</v>
      </c>
      <c r="AG85" s="162">
        <f t="shared" si="143"/>
        <v>1203.75</v>
      </c>
      <c r="AH85" s="162">
        <f t="shared" si="143"/>
        <v>123</v>
      </c>
      <c r="AI85" s="162">
        <f t="shared" si="143"/>
        <v>5000</v>
      </c>
      <c r="AJ85" s="198">
        <f t="shared" si="143"/>
        <v>16326.75</v>
      </c>
    </row>
    <row r="86" spans="1:36" ht="15.75">
      <c r="A86" s="305">
        <v>0.7</v>
      </c>
      <c r="B86" s="305"/>
      <c r="C86" s="299" t="s">
        <v>9</v>
      </c>
      <c r="D86" s="162">
        <f>'no mortgage'!C86+'additional costs mortgage'!C86*'partial 70% mortgage'!A86</f>
        <v>30000</v>
      </c>
      <c r="E86" s="162">
        <f>'additional costs mortgage'!D86*'partial 70% mortgage'!A86</f>
        <v>219.1</v>
      </c>
      <c r="F86" s="162">
        <f>'no mortgage'!E86+'additional costs mortgage'!E86*'partial 70% mortgage'!A86</f>
        <v>1364.3</v>
      </c>
      <c r="G86" s="162">
        <f>'no mortgage'!F86+'additional costs mortgage'!F86*'partial 70% mortgage'!A86</f>
        <v>384.2</v>
      </c>
      <c r="H86" s="162">
        <f>'no mortgage'!G86+'additional costs mortgage'!G86*'partial 70% mortgage'!A86</f>
        <v>40950.00000000001</v>
      </c>
      <c r="I86" s="198">
        <f t="shared" si="115"/>
        <v>72917.6</v>
      </c>
      <c r="J86" s="162">
        <f t="shared" si="116"/>
        <v>31967.6</v>
      </c>
      <c r="K86" s="162">
        <f t="shared" si="117"/>
        <v>31583.399999999998</v>
      </c>
      <c r="L86" s="202">
        <v>0.16</v>
      </c>
      <c r="M86" s="203"/>
      <c r="N86" s="307">
        <f t="shared" si="118"/>
        <v>0.1458352</v>
      </c>
      <c r="O86" s="308">
        <f t="shared" si="119"/>
        <v>0.08190000000000001</v>
      </c>
      <c r="P86" s="308"/>
      <c r="Q86" s="309">
        <f t="shared" si="121"/>
        <v>0.0631668</v>
      </c>
      <c r="R86" s="310">
        <f t="shared" si="122"/>
        <v>0.5615928116120115</v>
      </c>
      <c r="S86" s="311"/>
      <c r="T86" s="312">
        <f t="shared" si="124"/>
        <v>0.43313822725926243</v>
      </c>
      <c r="U86" s="310">
        <f t="shared" si="125"/>
        <v>0.9498660688842874</v>
      </c>
      <c r="V86" s="311">
        <f>E86/K86</f>
        <v>0.006937188523084912</v>
      </c>
      <c r="W86" s="312">
        <f t="shared" si="126"/>
        <v>0.043196742592627776</v>
      </c>
      <c r="X86" s="310">
        <f t="shared" si="137"/>
        <v>0.06</v>
      </c>
      <c r="Y86" s="311">
        <f>E86/500000</f>
        <v>0.00043819999999999997</v>
      </c>
      <c r="Z86" s="312">
        <f t="shared" si="128"/>
        <v>0.0027286</v>
      </c>
      <c r="AA86" s="311"/>
      <c r="AC86" s="299" t="s">
        <v>16</v>
      </c>
      <c r="AD86" s="162">
        <v>500000</v>
      </c>
      <c r="AE86" s="162">
        <f aca="true" t="shared" si="144" ref="AE86:AJ86">D85</f>
        <v>20000</v>
      </c>
      <c r="AF86" s="197" t="str">
        <f t="shared" si="144"/>
        <v>n.r.</v>
      </c>
      <c r="AG86" s="162">
        <f t="shared" si="144"/>
        <v>1377</v>
      </c>
      <c r="AH86" s="162">
        <f t="shared" si="144"/>
        <v>123</v>
      </c>
      <c r="AI86" s="162">
        <f t="shared" si="144"/>
        <v>10000</v>
      </c>
      <c r="AJ86" s="198">
        <f t="shared" si="144"/>
        <v>31500</v>
      </c>
    </row>
    <row r="87" spans="1:36" ht="15.75">
      <c r="A87" s="305">
        <v>0.7</v>
      </c>
      <c r="B87" s="305"/>
      <c r="C87" s="316" t="s">
        <v>10</v>
      </c>
      <c r="D87" s="206">
        <f>'no mortgage'!C87+'additional costs mortgage'!C87*'partial 70% mortgage'!A87</f>
        <v>12800</v>
      </c>
      <c r="E87" s="206">
        <f>'no mortgage'!D87+'additional costs mortgage'!D87*'partial 70% mortgage'!A87</f>
        <v>400</v>
      </c>
      <c r="F87" s="206">
        <f>'no mortgage'!E87+'additional costs mortgage'!E87*'partial 70% mortgage'!A87</f>
        <v>0</v>
      </c>
      <c r="G87" s="206">
        <f>'no mortgage'!F87+'additional costs mortgage'!F87*'partial 70% mortgage'!A87</f>
        <v>118</v>
      </c>
      <c r="H87" s="212">
        <f>'no mortgage'!G87+'additional costs mortgage'!G87*'partial 70% mortgage'!A87</f>
        <v>14500</v>
      </c>
      <c r="I87" s="208">
        <f t="shared" si="115"/>
        <v>27818</v>
      </c>
      <c r="J87" s="206">
        <f t="shared" si="116"/>
        <v>13318</v>
      </c>
      <c r="K87" s="206">
        <f t="shared" si="117"/>
        <v>13200</v>
      </c>
      <c r="L87" s="213">
        <v>0.25</v>
      </c>
      <c r="M87" s="203"/>
      <c r="N87" s="307">
        <f t="shared" si="118"/>
        <v>0.055636</v>
      </c>
      <c r="O87" s="308">
        <f t="shared" si="119"/>
        <v>0.029</v>
      </c>
      <c r="P87" s="308">
        <f>G87/500000</f>
        <v>0.000236</v>
      </c>
      <c r="Q87" s="309">
        <f t="shared" si="121"/>
        <v>0.0264</v>
      </c>
      <c r="R87" s="310">
        <f t="shared" si="122"/>
        <v>0.5212452368969732</v>
      </c>
      <c r="S87" s="311">
        <f>G87/I87</f>
        <v>0.004241857789920195</v>
      </c>
      <c r="T87" s="312">
        <f t="shared" si="124"/>
        <v>0.47451290531310664</v>
      </c>
      <c r="U87" s="310">
        <f t="shared" si="125"/>
        <v>0.9696969696969697</v>
      </c>
      <c r="V87" s="311">
        <f>E87/K87</f>
        <v>0.030303030303030304</v>
      </c>
      <c r="W87" s="312">
        <f t="shared" si="126"/>
        <v>0</v>
      </c>
      <c r="X87" s="209">
        <f t="shared" si="137"/>
        <v>0.0256</v>
      </c>
      <c r="Y87" s="311">
        <f>E87/500000</f>
        <v>0.0008</v>
      </c>
      <c r="Z87" s="210">
        <f t="shared" si="128"/>
        <v>0</v>
      </c>
      <c r="AA87" s="211"/>
      <c r="AC87" s="299" t="s">
        <v>16</v>
      </c>
      <c r="AD87" s="161" t="s">
        <v>58</v>
      </c>
      <c r="AE87" s="162">
        <f aca="true" t="shared" si="145" ref="AE87:AJ87">D114</f>
        <v>4000</v>
      </c>
      <c r="AF87" s="197" t="str">
        <f t="shared" si="145"/>
        <v>n.r.</v>
      </c>
      <c r="AG87" s="162">
        <f t="shared" si="145"/>
        <v>810</v>
      </c>
      <c r="AH87" s="162">
        <f t="shared" si="145"/>
        <v>123</v>
      </c>
      <c r="AI87" s="162">
        <f t="shared" si="145"/>
        <v>2000</v>
      </c>
      <c r="AJ87" s="198">
        <f t="shared" si="145"/>
        <v>6933</v>
      </c>
    </row>
    <row r="88" spans="3:36" ht="15.75">
      <c r="C88" s="214" t="s">
        <v>27</v>
      </c>
      <c r="D88" s="215">
        <f>(SUM(D68:D87))/E89</f>
        <v>16103.65</v>
      </c>
      <c r="E88" s="215">
        <f>(SUM(E68:E87))/J89</f>
        <v>506.1615384615385</v>
      </c>
      <c r="F88" s="215">
        <f>(SUM(F68:F87))/E89</f>
        <v>2685.0237500000003</v>
      </c>
      <c r="G88" s="215">
        <f>(SUM(G68:G87))/E89</f>
        <v>1527.22985</v>
      </c>
      <c r="H88" s="215">
        <f>(SUM(H68:H87))/E89</f>
        <v>23081.704999999998</v>
      </c>
      <c r="I88" s="208">
        <f>(SUM(I68:I87))/E89</f>
        <v>43726.6136</v>
      </c>
      <c r="J88" s="215">
        <f>(SUM(J68:J87))/E89</f>
        <v>20644.9086</v>
      </c>
      <c r="K88" s="215">
        <f>(SUM(K68:K87))/E89</f>
        <v>19117.67875</v>
      </c>
      <c r="L88" s="318"/>
      <c r="M88" s="216" t="s">
        <v>27</v>
      </c>
      <c r="N88" s="219">
        <f>(SUM(N68:N87))/E89</f>
        <v>0.08745322720000001</v>
      </c>
      <c r="O88" s="218">
        <f>(SUM(O68:O87))/E89</f>
        <v>0.04616341</v>
      </c>
      <c r="P88" s="218">
        <f>(SUM(P68:P87))/E89</f>
        <v>0.0030160397000000005</v>
      </c>
      <c r="Q88" s="218">
        <f>(SUM(Q68:Q87))/E89</f>
        <v>0.0382353575</v>
      </c>
      <c r="R88" s="219">
        <f>(SUM(R68:R87))/E89</f>
        <v>0.45139590469746604</v>
      </c>
      <c r="S88" s="218">
        <f>(SUM(S68:S87))/E89</f>
        <v>0.037457269627725436</v>
      </c>
      <c r="T88" s="218">
        <f>(SUM(T68:T87))/E89</f>
        <v>0.5108833776183721</v>
      </c>
      <c r="U88" s="219">
        <f>(SUM(U68:U87))/E89</f>
        <v>0.8245750938543421</v>
      </c>
      <c r="V88" s="218">
        <f>(SUM(V68:V87))/E89</f>
        <v>0.028300121177503617</v>
      </c>
      <c r="W88" s="218">
        <f>(SUM(W68:W87))/E89</f>
        <v>0.14712478496815415</v>
      </c>
      <c r="X88" s="219">
        <f>(SUM(X68:X87))/E89</f>
        <v>0.0307073</v>
      </c>
      <c r="Y88" s="218">
        <f>(SUM(Y68:Y87))/J89</f>
        <v>0.0010123230769230767</v>
      </c>
      <c r="Z88" s="220">
        <f>(SUM(Z68:Z87))/E89</f>
        <v>0.005370047500000001</v>
      </c>
      <c r="AA88" s="221"/>
      <c r="AC88" s="299"/>
      <c r="AD88" s="300"/>
      <c r="AE88" s="300"/>
      <c r="AF88" s="300"/>
      <c r="AG88" s="300"/>
      <c r="AH88" s="300"/>
      <c r="AI88" s="300"/>
      <c r="AJ88" s="314"/>
    </row>
    <row r="89" spans="3:36" ht="15.75">
      <c r="C89" s="319"/>
      <c r="D89" s="320" t="s">
        <v>44</v>
      </c>
      <c r="E89" s="321">
        <v>20</v>
      </c>
      <c r="F89" s="322"/>
      <c r="G89" s="320"/>
      <c r="H89" s="320"/>
      <c r="I89" s="320" t="s">
        <v>52</v>
      </c>
      <c r="J89" s="321">
        <v>13</v>
      </c>
      <c r="K89" s="323"/>
      <c r="L89" s="318"/>
      <c r="M89" s="222"/>
      <c r="N89" s="222"/>
      <c r="O89" s="222"/>
      <c r="P89" s="222"/>
      <c r="Q89" s="222"/>
      <c r="U89" s="324" t="s">
        <v>120</v>
      </c>
      <c r="V89" s="223">
        <f>(SUM(V68:V87))/J89</f>
        <v>0.043538647965390184</v>
      </c>
      <c r="X89" s="47"/>
      <c r="Y89" s="224"/>
      <c r="Z89" s="47"/>
      <c r="AA89" s="49"/>
      <c r="AC89" s="192" t="s">
        <v>9</v>
      </c>
      <c r="AD89" s="234">
        <v>100000</v>
      </c>
      <c r="AE89" s="234">
        <f aca="true" t="shared" si="146" ref="AE89:AJ89">D25</f>
        <v>6000</v>
      </c>
      <c r="AF89" s="234">
        <f t="shared" si="146"/>
        <v>91</v>
      </c>
      <c r="AG89" s="234">
        <f t="shared" si="146"/>
        <v>891.3</v>
      </c>
      <c r="AH89" s="234">
        <f t="shared" si="146"/>
        <v>241.7</v>
      </c>
      <c r="AI89" s="234">
        <f t="shared" si="146"/>
        <v>8190</v>
      </c>
      <c r="AJ89" s="199">
        <f t="shared" si="146"/>
        <v>15414</v>
      </c>
    </row>
    <row r="90" spans="22:36" ht="12.75">
      <c r="V90" s="327"/>
      <c r="W90" s="226"/>
      <c r="X90" s="227"/>
      <c r="Z90" s="227"/>
      <c r="AA90" s="227"/>
      <c r="AC90" s="299" t="s">
        <v>9</v>
      </c>
      <c r="AD90" s="162">
        <v>250000</v>
      </c>
      <c r="AE90" s="162">
        <f aca="true" t="shared" si="147" ref="AE90:AJ90">D52</f>
        <v>15000</v>
      </c>
      <c r="AF90" s="162">
        <f t="shared" si="147"/>
        <v>141.39999999999998</v>
      </c>
      <c r="AG90" s="162">
        <f t="shared" si="147"/>
        <v>1194.3</v>
      </c>
      <c r="AH90" s="162">
        <f t="shared" si="147"/>
        <v>301.4</v>
      </c>
      <c r="AI90" s="162">
        <f t="shared" si="147"/>
        <v>20475.000000000004</v>
      </c>
      <c r="AJ90" s="198">
        <f t="shared" si="147"/>
        <v>37112.100000000006</v>
      </c>
    </row>
    <row r="91" spans="22:36" ht="12.75">
      <c r="V91" s="327"/>
      <c r="X91" s="49"/>
      <c r="Y91" s="221"/>
      <c r="Z91" s="49"/>
      <c r="AA91" s="49"/>
      <c r="AC91" s="299" t="s">
        <v>9</v>
      </c>
      <c r="AD91" s="162">
        <v>500000</v>
      </c>
      <c r="AE91" s="162">
        <f aca="true" t="shared" si="148" ref="AE91:AJ91">D86</f>
        <v>30000</v>
      </c>
      <c r="AF91" s="162">
        <f t="shared" si="148"/>
        <v>219.1</v>
      </c>
      <c r="AG91" s="162">
        <f t="shared" si="148"/>
        <v>1364.3</v>
      </c>
      <c r="AH91" s="162">
        <f t="shared" si="148"/>
        <v>384.2</v>
      </c>
      <c r="AI91" s="162">
        <f t="shared" si="148"/>
        <v>40950.00000000001</v>
      </c>
      <c r="AJ91" s="198">
        <f t="shared" si="148"/>
        <v>72917.6</v>
      </c>
    </row>
    <row r="92" spans="29:36" ht="12.75">
      <c r="AC92" s="299" t="s">
        <v>9</v>
      </c>
      <c r="AD92" s="161" t="s">
        <v>58</v>
      </c>
      <c r="AE92" s="162">
        <f aca="true" t="shared" si="149" ref="AE92:AJ92">D115</f>
        <v>10357.8</v>
      </c>
      <c r="AF92" s="162">
        <f t="shared" si="149"/>
        <v>115.40368</v>
      </c>
      <c r="AG92" s="162">
        <f t="shared" si="149"/>
        <v>1038.0126</v>
      </c>
      <c r="AH92" s="162">
        <f t="shared" si="149"/>
        <v>270.60674</v>
      </c>
      <c r="AI92" s="162">
        <f t="shared" si="149"/>
        <v>14138.397</v>
      </c>
      <c r="AJ92" s="198">
        <f t="shared" si="149"/>
        <v>25920.22002</v>
      </c>
    </row>
    <row r="93" spans="29:36" ht="12.75">
      <c r="AC93" s="299"/>
      <c r="AD93" s="300"/>
      <c r="AE93" s="300"/>
      <c r="AF93" s="300"/>
      <c r="AG93" s="300"/>
      <c r="AH93" s="300"/>
      <c r="AI93" s="300"/>
      <c r="AJ93" s="314"/>
    </row>
    <row r="94" spans="1:36" ht="12.75">
      <c r="A94" s="295"/>
      <c r="B94" s="296"/>
      <c r="C94" s="296"/>
      <c r="D94" s="296"/>
      <c r="E94" s="235" t="s">
        <v>56</v>
      </c>
      <c r="F94" s="190" t="s">
        <v>128</v>
      </c>
      <c r="G94" s="296"/>
      <c r="H94" s="296"/>
      <c r="I94" s="296"/>
      <c r="J94" s="296"/>
      <c r="K94" s="296"/>
      <c r="L94" s="298"/>
      <c r="N94" s="192"/>
      <c r="O94" s="171" t="s">
        <v>28</v>
      </c>
      <c r="P94" s="172"/>
      <c r="Q94" s="298"/>
      <c r="R94" s="295"/>
      <c r="S94" s="172" t="s">
        <v>21</v>
      </c>
      <c r="T94" s="298"/>
      <c r="U94" s="295"/>
      <c r="V94" s="172" t="s">
        <v>24</v>
      </c>
      <c r="W94" s="298"/>
      <c r="X94" s="295"/>
      <c r="Y94" s="172" t="s">
        <v>39</v>
      </c>
      <c r="Z94" s="298"/>
      <c r="AA94" s="300"/>
      <c r="AC94" s="192" t="s">
        <v>10</v>
      </c>
      <c r="AD94" s="234">
        <v>100000</v>
      </c>
      <c r="AE94" s="234">
        <f aca="true" t="shared" si="150" ref="AE94:AJ94">D26</f>
        <v>3600</v>
      </c>
      <c r="AF94" s="234">
        <f t="shared" si="150"/>
        <v>400</v>
      </c>
      <c r="AG94" s="234">
        <f t="shared" si="150"/>
        <v>0</v>
      </c>
      <c r="AH94" s="234">
        <f t="shared" si="150"/>
        <v>118</v>
      </c>
      <c r="AI94" s="234">
        <f t="shared" si="150"/>
        <v>2900</v>
      </c>
      <c r="AJ94" s="199">
        <f t="shared" si="150"/>
        <v>7018</v>
      </c>
    </row>
    <row r="95" spans="1:36" ht="12.75">
      <c r="A95" s="299"/>
      <c r="B95" s="300"/>
      <c r="D95" s="300"/>
      <c r="E95" s="300"/>
      <c r="F95" s="300"/>
      <c r="G95" s="300"/>
      <c r="H95" s="300"/>
      <c r="I95" s="300"/>
      <c r="J95" s="300"/>
      <c r="K95" s="300"/>
      <c r="L95" s="301"/>
      <c r="N95" s="302"/>
      <c r="O95" s="303" t="s">
        <v>56</v>
      </c>
      <c r="P95" s="303"/>
      <c r="Q95" s="304"/>
      <c r="R95" s="299"/>
      <c r="S95" s="303" t="s">
        <v>56</v>
      </c>
      <c r="T95" s="301"/>
      <c r="U95" s="299"/>
      <c r="V95" s="303" t="s">
        <v>56</v>
      </c>
      <c r="W95" s="301"/>
      <c r="X95" s="299"/>
      <c r="Y95" s="303" t="s">
        <v>56</v>
      </c>
      <c r="Z95" s="301"/>
      <c r="AA95" s="300"/>
      <c r="AC95" s="299" t="s">
        <v>10</v>
      </c>
      <c r="AD95" s="162">
        <v>250000</v>
      </c>
      <c r="AE95" s="162">
        <f aca="true" t="shared" si="151" ref="AE95:AJ95">D53</f>
        <v>7800</v>
      </c>
      <c r="AF95" s="162">
        <f t="shared" si="151"/>
        <v>400</v>
      </c>
      <c r="AG95" s="162">
        <f t="shared" si="151"/>
        <v>0</v>
      </c>
      <c r="AH95" s="162">
        <f t="shared" si="151"/>
        <v>118</v>
      </c>
      <c r="AI95" s="162">
        <f t="shared" si="151"/>
        <v>7250</v>
      </c>
      <c r="AJ95" s="198">
        <f t="shared" si="151"/>
        <v>15568</v>
      </c>
    </row>
    <row r="96" spans="1:36" ht="12.75">
      <c r="A96" s="174"/>
      <c r="B96" s="175"/>
      <c r="C96" s="174" t="s">
        <v>58</v>
      </c>
      <c r="D96" s="62" t="s">
        <v>40</v>
      </c>
      <c r="E96" s="62" t="s">
        <v>32</v>
      </c>
      <c r="F96" s="62" t="s">
        <v>46</v>
      </c>
      <c r="G96" s="62" t="s">
        <v>33</v>
      </c>
      <c r="H96" s="62" t="s">
        <v>17</v>
      </c>
      <c r="I96" s="62" t="s">
        <v>34</v>
      </c>
      <c r="J96" s="62" t="s">
        <v>36</v>
      </c>
      <c r="K96" s="62" t="s">
        <v>42</v>
      </c>
      <c r="L96" s="60" t="s">
        <v>18</v>
      </c>
      <c r="M96" s="195"/>
      <c r="N96" s="61" t="s">
        <v>37</v>
      </c>
      <c r="O96" s="62" t="s">
        <v>22</v>
      </c>
      <c r="P96" s="62" t="s">
        <v>23</v>
      </c>
      <c r="Q96" s="60" t="s">
        <v>38</v>
      </c>
      <c r="R96" s="61" t="s">
        <v>22</v>
      </c>
      <c r="S96" s="62" t="s">
        <v>23</v>
      </c>
      <c r="T96" s="60" t="s">
        <v>38</v>
      </c>
      <c r="U96" s="61" t="s">
        <v>25</v>
      </c>
      <c r="V96" s="62" t="s">
        <v>26</v>
      </c>
      <c r="W96" s="60" t="s">
        <v>47</v>
      </c>
      <c r="X96" s="61" t="s">
        <v>25</v>
      </c>
      <c r="Y96" s="62" t="s">
        <v>26</v>
      </c>
      <c r="Z96" s="60" t="s">
        <v>47</v>
      </c>
      <c r="AA96" s="24"/>
      <c r="AC96" s="299" t="s">
        <v>10</v>
      </c>
      <c r="AD96" s="162">
        <v>500000</v>
      </c>
      <c r="AE96" s="162">
        <f aca="true" t="shared" si="152" ref="AE96:AJ96">D87</f>
        <v>12800</v>
      </c>
      <c r="AF96" s="162">
        <f t="shared" si="152"/>
        <v>400</v>
      </c>
      <c r="AG96" s="162">
        <f t="shared" si="152"/>
        <v>0</v>
      </c>
      <c r="AH96" s="162">
        <f t="shared" si="152"/>
        <v>118</v>
      </c>
      <c r="AI96" s="162">
        <f t="shared" si="152"/>
        <v>14500</v>
      </c>
      <c r="AJ96" s="198">
        <f t="shared" si="152"/>
        <v>27818</v>
      </c>
    </row>
    <row r="97" spans="1:36" ht="12.75">
      <c r="A97" s="305">
        <v>0.7</v>
      </c>
      <c r="B97" s="161" t="s">
        <v>129</v>
      </c>
      <c r="C97" s="236">
        <v>150000</v>
      </c>
      <c r="D97" s="162">
        <f>'no mortgage'!C97+'additional costs mortgage'!C97*'partial 70% mortgage'!A97</f>
        <v>9000</v>
      </c>
      <c r="E97" s="197" t="s">
        <v>43</v>
      </c>
      <c r="F97" s="162">
        <f>'no mortgage'!E97+'additional costs mortgage'!E97*'partial 70% mortgage'!A97</f>
        <v>1566.6666666666667</v>
      </c>
      <c r="G97" s="162">
        <f>'no mortgage'!F97+'additional costs mortgage'!F97*'partial 70% mortgage'!A97</f>
        <v>2760</v>
      </c>
      <c r="H97" s="162">
        <f>'no mortgage'!G97+'additional costs mortgage'!G97*'partial 70% mortgage'!A97</f>
        <v>5250.000000000001</v>
      </c>
      <c r="I97" s="199">
        <f aca="true" t="shared" si="153" ref="I97:I116">SUM(D97:H97)</f>
        <v>18576.666666666668</v>
      </c>
      <c r="J97" s="162">
        <f aca="true" t="shared" si="154" ref="J97:J116">SUM(D97:G97)</f>
        <v>13326.666666666666</v>
      </c>
      <c r="K97" s="162">
        <f aca="true" t="shared" si="155" ref="K97:K116">SUM(D97:F97)</f>
        <v>10566.666666666666</v>
      </c>
      <c r="L97" s="200">
        <v>0.2</v>
      </c>
      <c r="M97" s="306"/>
      <c r="N97" s="307">
        <f aca="true" t="shared" si="156" ref="N97:N116">I97/C97</f>
        <v>0.12384444444444445</v>
      </c>
      <c r="O97" s="308">
        <f aca="true" t="shared" si="157" ref="O97:O116">H97/C97</f>
        <v>0.035</v>
      </c>
      <c r="P97" s="308">
        <f aca="true" t="shared" si="158" ref="P97:P116">G97/C97</f>
        <v>0.0184</v>
      </c>
      <c r="Q97" s="309">
        <f aca="true" t="shared" si="159" ref="Q97:Q116">K97/C97</f>
        <v>0.07044444444444443</v>
      </c>
      <c r="R97" s="310">
        <f aca="true" t="shared" si="160" ref="R97:R116">H97/I97</f>
        <v>0.282612596447156</v>
      </c>
      <c r="S97" s="311">
        <f aca="true" t="shared" si="161" ref="S97:S116">G97/I97</f>
        <v>0.14857347927507625</v>
      </c>
      <c r="T97" s="312">
        <f aca="true" t="shared" si="162" ref="T97:T116">K97/I97</f>
        <v>0.5688139242777678</v>
      </c>
      <c r="U97" s="310">
        <f aca="true" t="shared" si="163" ref="U97:U116">D97/K97</f>
        <v>0.8517350157728707</v>
      </c>
      <c r="V97" s="311"/>
      <c r="W97" s="312">
        <f aca="true" t="shared" si="164" ref="W97:W116">F97/K97</f>
        <v>0.14826498422712936</v>
      </c>
      <c r="X97" s="310">
        <f aca="true" t="shared" si="165" ref="X97:X116">D97/C97</f>
        <v>0.06</v>
      </c>
      <c r="Y97" s="311"/>
      <c r="Z97" s="312">
        <f>F97/C97</f>
        <v>0.010444444444444445</v>
      </c>
      <c r="AA97" s="311"/>
      <c r="AC97" s="299" t="s">
        <v>10</v>
      </c>
      <c r="AD97" s="161" t="s">
        <v>58</v>
      </c>
      <c r="AE97" s="162">
        <f aca="true" t="shared" si="166" ref="AE97:AJ97">D116</f>
        <v>4930</v>
      </c>
      <c r="AF97" s="162">
        <f t="shared" si="166"/>
        <v>400</v>
      </c>
      <c r="AG97" s="162">
        <f t="shared" si="166"/>
        <v>0</v>
      </c>
      <c r="AH97" s="162">
        <f t="shared" si="166"/>
        <v>118</v>
      </c>
      <c r="AI97" s="162">
        <f t="shared" si="166"/>
        <v>4277.5</v>
      </c>
      <c r="AJ97" s="198">
        <f t="shared" si="166"/>
        <v>9725.5</v>
      </c>
    </row>
    <row r="98" spans="1:36" ht="15.75">
      <c r="A98" s="305">
        <v>0.7</v>
      </c>
      <c r="B98" s="161" t="s">
        <v>130</v>
      </c>
      <c r="C98" s="237">
        <v>167000</v>
      </c>
      <c r="D98" s="162">
        <f>'no mortgage'!C98+'additional costs mortgage'!C98*'partial 70% mortgage'!A98</f>
        <v>5010</v>
      </c>
      <c r="E98" s="197" t="s">
        <v>43</v>
      </c>
      <c r="F98" s="162">
        <f>'no mortgage'!E98+'additional costs mortgage'!E98*'partial 70% mortgage'!A98</f>
        <v>2475.426</v>
      </c>
      <c r="G98" s="162">
        <f>'no mortgage'!F98+'additional costs mortgage'!F98*'partial 70% mortgage'!A98</f>
        <v>788.6333333333333</v>
      </c>
      <c r="H98" s="162">
        <f>'no mortgage'!G98+'additional costs mortgage'!G98*'partial 70% mortgage'!A98</f>
        <v>21042</v>
      </c>
      <c r="I98" s="198">
        <f t="shared" si="153"/>
        <v>29316.05933333333</v>
      </c>
      <c r="J98" s="162">
        <f t="shared" si="154"/>
        <v>8274.059333333333</v>
      </c>
      <c r="K98" s="162">
        <f t="shared" si="155"/>
        <v>7485.4259999999995</v>
      </c>
      <c r="L98" s="202">
        <v>0.21</v>
      </c>
      <c r="M98" s="203"/>
      <c r="N98" s="307">
        <f t="shared" si="156"/>
        <v>0.17554526546906185</v>
      </c>
      <c r="O98" s="308">
        <f t="shared" si="157"/>
        <v>0.126</v>
      </c>
      <c r="P98" s="308">
        <f t="shared" si="158"/>
        <v>0.004722355289421157</v>
      </c>
      <c r="Q98" s="309">
        <f t="shared" si="159"/>
        <v>0.04482291017964071</v>
      </c>
      <c r="R98" s="310">
        <f t="shared" si="160"/>
        <v>0.7177635902815406</v>
      </c>
      <c r="S98" s="311">
        <f t="shared" si="161"/>
        <v>0.02690106894539646</v>
      </c>
      <c r="T98" s="312">
        <f t="shared" si="162"/>
        <v>0.25533534077306297</v>
      </c>
      <c r="U98" s="310">
        <f t="shared" si="163"/>
        <v>0.6693005848965711</v>
      </c>
      <c r="V98" s="311"/>
      <c r="W98" s="312">
        <f t="shared" si="164"/>
        <v>0.330699415103429</v>
      </c>
      <c r="X98" s="310">
        <f t="shared" si="165"/>
        <v>0.03</v>
      </c>
      <c r="Y98" s="311"/>
      <c r="Z98" s="312">
        <f aca="true" t="shared" si="167" ref="Z98:Z116">F98/C98</f>
        <v>0.014822910179640719</v>
      </c>
      <c r="AA98" s="311"/>
      <c r="AC98" s="316"/>
      <c r="AD98" s="328"/>
      <c r="AE98" s="328"/>
      <c r="AF98" s="328"/>
      <c r="AG98" s="328"/>
      <c r="AH98" s="328"/>
      <c r="AI98" s="328"/>
      <c r="AJ98" s="329"/>
    </row>
    <row r="99" spans="1:36" ht="15.75">
      <c r="A99" s="305">
        <v>0.7</v>
      </c>
      <c r="B99" s="161" t="s">
        <v>131</v>
      </c>
      <c r="C99" s="236">
        <v>100000</v>
      </c>
      <c r="D99" s="162">
        <f>'no mortgage'!C99+'additional costs mortgage'!C99*'partial 70% mortgage'!A99</f>
        <v>5000</v>
      </c>
      <c r="E99" s="162">
        <f>'no mortgage'!D99+'additional costs mortgage'!D99*'partial 70% mortgage'!A99</f>
        <v>350</v>
      </c>
      <c r="F99" s="162">
        <f>'no mortgage'!E99+'additional costs mortgage'!E99*'partial 70% mortgage'!A99</f>
        <v>850</v>
      </c>
      <c r="G99" s="162">
        <f>'no mortgage'!F99+'additional costs mortgage'!F99*'partial 70% mortgage'!A99</f>
        <v>17</v>
      </c>
      <c r="H99" s="162">
        <f>'no mortgage'!G99+'additional costs mortgage'!G99*'partial 70% mortgage'!A99</f>
        <v>0</v>
      </c>
      <c r="I99" s="198">
        <f t="shared" si="153"/>
        <v>6217</v>
      </c>
      <c r="J99" s="162">
        <f t="shared" si="154"/>
        <v>6217</v>
      </c>
      <c r="K99" s="162">
        <f t="shared" si="155"/>
        <v>6200</v>
      </c>
      <c r="L99" s="202">
        <v>0.19</v>
      </c>
      <c r="M99" s="203"/>
      <c r="N99" s="307">
        <f t="shared" si="156"/>
        <v>0.06217</v>
      </c>
      <c r="O99" s="308">
        <f t="shared" si="157"/>
        <v>0</v>
      </c>
      <c r="P99" s="308">
        <f t="shared" si="158"/>
        <v>0.00017</v>
      </c>
      <c r="Q99" s="309">
        <f t="shared" si="159"/>
        <v>0.062</v>
      </c>
      <c r="R99" s="310">
        <f t="shared" si="160"/>
        <v>0</v>
      </c>
      <c r="S99" s="311">
        <f t="shared" si="161"/>
        <v>0.0027344378317516486</v>
      </c>
      <c r="T99" s="312">
        <f t="shared" si="162"/>
        <v>0.9972655621682484</v>
      </c>
      <c r="U99" s="310">
        <f t="shared" si="163"/>
        <v>0.8064516129032258</v>
      </c>
      <c r="V99" s="311">
        <f>E99/K99</f>
        <v>0.056451612903225805</v>
      </c>
      <c r="W99" s="312">
        <f t="shared" si="164"/>
        <v>0.13709677419354838</v>
      </c>
      <c r="X99" s="310">
        <f t="shared" si="165"/>
        <v>0.05</v>
      </c>
      <c r="Y99" s="311">
        <f>E99/C99</f>
        <v>0.0035</v>
      </c>
      <c r="Z99" s="312">
        <f t="shared" si="167"/>
        <v>0.0085</v>
      </c>
      <c r="AA99" s="311"/>
      <c r="AC99" s="238" t="s">
        <v>107</v>
      </c>
      <c r="AD99" s="234">
        <v>100000</v>
      </c>
      <c r="AE99" s="234">
        <f aca="true" t="shared" si="168" ref="AE99:AJ99">D27</f>
        <v>3763.65</v>
      </c>
      <c r="AF99" s="234">
        <f t="shared" si="168"/>
        <v>419.5769230769231</v>
      </c>
      <c r="AG99" s="234">
        <f t="shared" si="168"/>
        <v>1146.97295</v>
      </c>
      <c r="AH99" s="234">
        <f t="shared" si="168"/>
        <v>396.95484999999996</v>
      </c>
      <c r="AI99" s="234">
        <f t="shared" si="168"/>
        <v>3925.655</v>
      </c>
      <c r="AJ99" s="199">
        <f t="shared" si="168"/>
        <v>9505.9578</v>
      </c>
    </row>
    <row r="100" spans="1:36" ht="15.75">
      <c r="A100" s="305">
        <v>0.7</v>
      </c>
      <c r="B100" s="161" t="s">
        <v>132</v>
      </c>
      <c r="C100" s="330">
        <f>(219260+224225)/2</f>
        <v>221742.5</v>
      </c>
      <c r="D100" s="162">
        <f>'no mortgage'!C100+'additional costs mortgage'!C100*'partial 70% mortgage'!A100</f>
        <v>7068.82</v>
      </c>
      <c r="E100" s="162">
        <f>'no mortgage'!D100+'additional costs mortgage'!D100*'partial 70% mortgage'!A100</f>
        <v>1020</v>
      </c>
      <c r="F100" s="162">
        <f>'no mortgage'!E100+'additional costs mortgage'!E100*'partial 70% mortgage'!A100</f>
        <v>1013</v>
      </c>
      <c r="G100" s="162">
        <f>'no mortgage'!F100+'additional costs mortgage'!F100*'partial 70% mortgage'!A100</f>
        <v>3976.6512500000003</v>
      </c>
      <c r="H100" s="162">
        <f>'no mortgage'!G100+'additional costs mortgage'!G100*'partial 70% mortgage'!A100</f>
        <v>0</v>
      </c>
      <c r="I100" s="198">
        <f t="shared" si="153"/>
        <v>13078.47125</v>
      </c>
      <c r="J100" s="162">
        <f t="shared" si="154"/>
        <v>13078.47125</v>
      </c>
      <c r="K100" s="162">
        <f t="shared" si="155"/>
        <v>9101.82</v>
      </c>
      <c r="L100" s="202">
        <v>0.25</v>
      </c>
      <c r="M100" s="203"/>
      <c r="N100" s="307">
        <f t="shared" si="156"/>
        <v>0.058980444659909585</v>
      </c>
      <c r="O100" s="308">
        <f t="shared" si="157"/>
        <v>0</v>
      </c>
      <c r="P100" s="308">
        <f t="shared" si="158"/>
        <v>0.017933644880886616</v>
      </c>
      <c r="Q100" s="309">
        <f t="shared" si="159"/>
        <v>0.041046799779022966</v>
      </c>
      <c r="R100" s="310">
        <f t="shared" si="160"/>
        <v>0</v>
      </c>
      <c r="S100" s="311">
        <f t="shared" si="161"/>
        <v>0.30406086261802195</v>
      </c>
      <c r="T100" s="312">
        <f t="shared" si="162"/>
        <v>0.695939137381978</v>
      </c>
      <c r="U100" s="209">
        <f t="shared" si="163"/>
        <v>0.7766380789776111</v>
      </c>
      <c r="V100" s="311">
        <f>E100/K100</f>
        <v>0.11206549898811446</v>
      </c>
      <c r="W100" s="210">
        <f t="shared" si="164"/>
        <v>0.11129642203427446</v>
      </c>
      <c r="X100" s="209">
        <f t="shared" si="165"/>
        <v>0.031878507728559026</v>
      </c>
      <c r="Y100" s="311">
        <f>E100/C100</f>
        <v>0.004599930099101435</v>
      </c>
      <c r="Z100" s="210">
        <f t="shared" si="167"/>
        <v>0.0045683619513625035</v>
      </c>
      <c r="AA100" s="211"/>
      <c r="AC100" s="230" t="s">
        <v>107</v>
      </c>
      <c r="AD100" s="162">
        <v>250000</v>
      </c>
      <c r="AE100" s="162">
        <f aca="true" t="shared" si="169" ref="AE100:AJ100">D54</f>
        <v>8441.925</v>
      </c>
      <c r="AF100" s="162">
        <f t="shared" si="169"/>
        <v>463.95384615384614</v>
      </c>
      <c r="AG100" s="162">
        <f t="shared" si="169"/>
        <v>1789.1256500000004</v>
      </c>
      <c r="AH100" s="162">
        <f t="shared" si="169"/>
        <v>827.4898499999999</v>
      </c>
      <c r="AI100" s="162">
        <f t="shared" si="169"/>
        <v>10592.75</v>
      </c>
      <c r="AJ100" s="198">
        <f t="shared" si="169"/>
        <v>21952.860500000003</v>
      </c>
    </row>
    <row r="101" spans="1:36" ht="15.75">
      <c r="A101" s="305">
        <v>0.7</v>
      </c>
      <c r="B101" s="161" t="s">
        <v>133</v>
      </c>
      <c r="C101" s="330">
        <v>297750</v>
      </c>
      <c r="D101" s="162">
        <f>'no mortgage'!C101+'additional costs mortgage'!C101*'partial 70% mortgage'!A101</f>
        <v>4232.602</v>
      </c>
      <c r="E101" s="162">
        <f>'no mortgage'!D101+'additional costs mortgage'!D101*'partial 70% mortgage'!A101</f>
        <v>711.15</v>
      </c>
      <c r="F101" s="162">
        <f>'no mortgage'!E101+'additional costs mortgage'!E101*'partial 70% mortgage'!A101</f>
        <v>1412.805</v>
      </c>
      <c r="G101" s="162">
        <f>'no mortgage'!F101+'additional costs mortgage'!F101*'partial 70% mortgage'!A101</f>
        <v>245.055</v>
      </c>
      <c r="H101" s="162">
        <f>'no mortgage'!G101+'additional costs mortgage'!G101*'partial 70% mortgage'!A101</f>
        <v>4918.005</v>
      </c>
      <c r="I101" s="198">
        <f t="shared" si="153"/>
        <v>11519.617</v>
      </c>
      <c r="J101" s="162">
        <f t="shared" si="154"/>
        <v>6601.612</v>
      </c>
      <c r="K101" s="162">
        <f t="shared" si="155"/>
        <v>6356.557</v>
      </c>
      <c r="L101" s="202">
        <v>0.175</v>
      </c>
      <c r="M101" s="203"/>
      <c r="N101" s="307">
        <f t="shared" si="156"/>
        <v>0.03868889000839631</v>
      </c>
      <c r="O101" s="308">
        <f t="shared" si="157"/>
        <v>0.016517229219143576</v>
      </c>
      <c r="P101" s="308">
        <f t="shared" si="158"/>
        <v>0.0008230226700251889</v>
      </c>
      <c r="Q101" s="309">
        <f t="shared" si="159"/>
        <v>0.02134863811922754</v>
      </c>
      <c r="R101" s="310">
        <f t="shared" si="160"/>
        <v>0.42692435000226137</v>
      </c>
      <c r="S101" s="311">
        <f t="shared" si="161"/>
        <v>0.021272842664821236</v>
      </c>
      <c r="T101" s="312">
        <f t="shared" si="162"/>
        <v>0.5518028073329174</v>
      </c>
      <c r="U101" s="310">
        <f t="shared" si="163"/>
        <v>0.6658639260215868</v>
      </c>
      <c r="V101" s="311">
        <f>E101/K101</f>
        <v>0.11187660238081716</v>
      </c>
      <c r="W101" s="312">
        <f t="shared" si="164"/>
        <v>0.22225947159759601</v>
      </c>
      <c r="X101" s="310">
        <f t="shared" si="165"/>
        <v>0.014215287993282954</v>
      </c>
      <c r="Y101" s="311">
        <f>E101/C101</f>
        <v>0.0023884130982367757</v>
      </c>
      <c r="Z101" s="312">
        <f t="shared" si="167"/>
        <v>0.0047449370277078086</v>
      </c>
      <c r="AA101" s="311"/>
      <c r="AC101" s="230" t="s">
        <v>107</v>
      </c>
      <c r="AD101" s="162">
        <v>500000</v>
      </c>
      <c r="AE101" s="162">
        <f aca="true" t="shared" si="170" ref="AE101:AJ101">D88</f>
        <v>16103.65</v>
      </c>
      <c r="AF101" s="162">
        <f t="shared" si="170"/>
        <v>506.1615384615385</v>
      </c>
      <c r="AG101" s="162">
        <f t="shared" si="170"/>
        <v>2685.0237500000003</v>
      </c>
      <c r="AH101" s="162">
        <f t="shared" si="170"/>
        <v>1527.22985</v>
      </c>
      <c r="AI101" s="162">
        <f t="shared" si="170"/>
        <v>23081.704999999998</v>
      </c>
      <c r="AJ101" s="198">
        <f t="shared" si="170"/>
        <v>43726.6136</v>
      </c>
    </row>
    <row r="102" spans="1:36" ht="15.75">
      <c r="A102" s="305">
        <v>0.7</v>
      </c>
      <c r="B102" s="161" t="s">
        <v>134</v>
      </c>
      <c r="C102" s="330">
        <f>(149452+98060)/2</f>
        <v>123756</v>
      </c>
      <c r="D102" s="162">
        <f>'no mortgage'!C102+'additional costs mortgage'!C102*'partial 70% mortgage'!A102</f>
        <v>3867.375</v>
      </c>
      <c r="E102" s="162">
        <f>'no mortgage'!D102+'additional costs mortgage'!D102*'partial 70% mortgage'!A102</f>
        <v>600</v>
      </c>
      <c r="F102" s="162">
        <v>430</v>
      </c>
      <c r="G102" s="162">
        <f>'no mortgage'!F102+'additional costs mortgage'!F102*'partial 70% mortgage'!A102</f>
        <v>95.8</v>
      </c>
      <c r="H102" s="162">
        <f>'no mortgage'!G102+'additional costs mortgage'!G102*'partial 70% mortgage'!A102</f>
        <v>4950.24</v>
      </c>
      <c r="I102" s="198">
        <f t="shared" si="153"/>
        <v>9943.415</v>
      </c>
      <c r="J102" s="162">
        <f t="shared" si="154"/>
        <v>4993.175</v>
      </c>
      <c r="K102" s="162">
        <f t="shared" si="155"/>
        <v>4897.375</v>
      </c>
      <c r="L102" s="202">
        <v>0.28</v>
      </c>
      <c r="M102" s="203"/>
      <c r="N102" s="307">
        <f t="shared" si="156"/>
        <v>0.08034693267397137</v>
      </c>
      <c r="O102" s="308">
        <f t="shared" si="157"/>
        <v>0.04</v>
      </c>
      <c r="P102" s="308">
        <f t="shared" si="158"/>
        <v>0.0007741038818319919</v>
      </c>
      <c r="Q102" s="309">
        <f t="shared" si="159"/>
        <v>0.03957282879213937</v>
      </c>
      <c r="R102" s="310">
        <f t="shared" si="160"/>
        <v>0.49784103348799175</v>
      </c>
      <c r="S102" s="311">
        <f t="shared" si="161"/>
        <v>0.009634516913957628</v>
      </c>
      <c r="T102" s="312">
        <f t="shared" si="162"/>
        <v>0.49252444959805053</v>
      </c>
      <c r="U102" s="209">
        <f t="shared" si="163"/>
        <v>0.7896832486791393</v>
      </c>
      <c r="V102" s="311">
        <f>E102/K102</f>
        <v>0.12251461241991883</v>
      </c>
      <c r="W102" s="210">
        <f t="shared" si="164"/>
        <v>0.08780213890094184</v>
      </c>
      <c r="X102" s="209">
        <f t="shared" si="165"/>
        <v>0.03125</v>
      </c>
      <c r="Y102" s="311">
        <f>E102/C102</f>
        <v>0.0048482497818287595</v>
      </c>
      <c r="Z102" s="210">
        <f t="shared" si="167"/>
        <v>0.003474579010310611</v>
      </c>
      <c r="AA102" s="211"/>
      <c r="AC102" s="231" t="s">
        <v>107</v>
      </c>
      <c r="AD102" s="182" t="s">
        <v>58</v>
      </c>
      <c r="AE102" s="206">
        <f aca="true" t="shared" si="171" ref="AE102:AJ102">D117</f>
        <v>5536.404575621385</v>
      </c>
      <c r="AF102" s="206">
        <f t="shared" si="171"/>
        <v>336.621844</v>
      </c>
      <c r="AG102" s="206">
        <f t="shared" si="171"/>
        <v>1402.5984701612492</v>
      </c>
      <c r="AH102" s="206">
        <f t="shared" si="171"/>
        <v>607.2652449014032</v>
      </c>
      <c r="AI102" s="206">
        <f t="shared" si="171"/>
        <v>6919.579155785929</v>
      </c>
      <c r="AJ102" s="208">
        <f t="shared" si="171"/>
        <v>14802.469290469962</v>
      </c>
    </row>
    <row r="103" spans="1:36" ht="15.75">
      <c r="A103" s="305">
        <v>0.7</v>
      </c>
      <c r="B103" s="161" t="s">
        <v>135</v>
      </c>
      <c r="C103" s="330">
        <f>(137830+154800)/2*(209.3/129+176.6/119.7)/2</f>
        <v>226629.91335412173</v>
      </c>
      <c r="D103" s="162">
        <f>'no mortgage'!C103+'additional costs mortgage'!C103*'partial 70% mortgage'!A103</f>
        <v>16019.894512427709</v>
      </c>
      <c r="E103" s="162">
        <f>'no mortgage'!D103+'additional costs mortgage'!D103*'partial 70% mortgage'!A103</f>
        <v>500</v>
      </c>
      <c r="F103" s="162">
        <f>'no mortgage'!E103+'additional costs mortgage'!E103*'partial 70% mortgage'!A103</f>
        <v>2711.1219882249775</v>
      </c>
      <c r="G103" s="162">
        <f>'no mortgage'!F103+'additional costs mortgage'!F103*'partial 70% mortgage'!A103</f>
        <v>305.9503830280644</v>
      </c>
      <c r="H103" s="162">
        <f>'no mortgage'!G103+'additional costs mortgage'!G103*'partial 70% mortgage'!A103</f>
        <v>11467.47361571856</v>
      </c>
      <c r="I103" s="198">
        <f t="shared" si="153"/>
        <v>31004.44049939931</v>
      </c>
      <c r="J103" s="162">
        <f t="shared" si="154"/>
        <v>19536.96688368075</v>
      </c>
      <c r="K103" s="162">
        <f t="shared" si="155"/>
        <v>19231.016500652688</v>
      </c>
      <c r="L103" s="202">
        <v>0.196</v>
      </c>
      <c r="M103" s="203"/>
      <c r="N103" s="307">
        <f t="shared" si="156"/>
        <v>0.13680647907654256</v>
      </c>
      <c r="O103" s="308">
        <f t="shared" si="157"/>
        <v>0.0506</v>
      </c>
      <c r="P103" s="308">
        <f t="shared" si="158"/>
        <v>0.0013500000000000003</v>
      </c>
      <c r="Q103" s="309">
        <f t="shared" si="159"/>
        <v>0.08485647907654258</v>
      </c>
      <c r="R103" s="310">
        <f t="shared" si="160"/>
        <v>0.36986552348657076</v>
      </c>
      <c r="S103" s="311">
        <f t="shared" si="161"/>
        <v>0.009867953689859103</v>
      </c>
      <c r="T103" s="312">
        <f t="shared" si="162"/>
        <v>0.6202665228235703</v>
      </c>
      <c r="U103" s="310">
        <f t="shared" si="163"/>
        <v>0.8330238035979016</v>
      </c>
      <c r="V103" s="311">
        <f>E103/K103</f>
        <v>0.025999665695416067</v>
      </c>
      <c r="W103" s="312">
        <f t="shared" si="164"/>
        <v>0.14097653070668228</v>
      </c>
      <c r="X103" s="310">
        <f t="shared" si="165"/>
        <v>0.07068746696026725</v>
      </c>
      <c r="Y103" s="311">
        <f>E103/C103</f>
        <v>0.002206240088080175</v>
      </c>
      <c r="Z103" s="312">
        <f t="shared" si="167"/>
        <v>0.011962772028195148</v>
      </c>
      <c r="AA103" s="311"/>
      <c r="AC103" s="319"/>
      <c r="AD103" s="320" t="s">
        <v>44</v>
      </c>
      <c r="AE103" s="321">
        <v>20</v>
      </c>
      <c r="AF103" s="322"/>
      <c r="AG103" s="320"/>
      <c r="AH103" s="320"/>
      <c r="AI103" s="163" t="s">
        <v>52</v>
      </c>
      <c r="AJ103" s="318">
        <v>13</v>
      </c>
    </row>
    <row r="104" spans="1:27" ht="15.75">
      <c r="A104" s="305">
        <v>0.7</v>
      </c>
      <c r="B104" s="161" t="s">
        <v>136</v>
      </c>
      <c r="C104" s="330">
        <f>((173700+99400)*0.75/2)+((124200+103400)*0.25/2)</f>
        <v>130862.5</v>
      </c>
      <c r="D104" s="162">
        <f>'no mortgage'!C104+'additional costs mortgage'!C104*'partial 70% mortgage'!A104</f>
        <v>5234.5</v>
      </c>
      <c r="E104" s="197" t="s">
        <v>43</v>
      </c>
      <c r="F104" s="162">
        <f>'no mortgage'!E104+'additional costs mortgage'!E104*'partial 70% mortgage'!A104</f>
        <v>885.925175</v>
      </c>
      <c r="G104" s="162">
        <f>'no mortgage'!F104+'additional costs mortgage'!F104*'partial 70% mortgage'!A104</f>
        <v>556.849125</v>
      </c>
      <c r="H104" s="162">
        <f>'no mortgage'!G104+'additional costs mortgage'!G104*'partial 70% mortgage'!A104</f>
        <v>4580.1875</v>
      </c>
      <c r="I104" s="198">
        <f t="shared" si="153"/>
        <v>11257.461800000001</v>
      </c>
      <c r="J104" s="162">
        <f t="shared" si="154"/>
        <v>6677.2743</v>
      </c>
      <c r="K104" s="162">
        <f t="shared" si="155"/>
        <v>6120.425175</v>
      </c>
      <c r="L104" s="202">
        <v>0.16</v>
      </c>
      <c r="M104" s="203"/>
      <c r="N104" s="307">
        <f t="shared" si="156"/>
        <v>0.08602511643901042</v>
      </c>
      <c r="O104" s="308">
        <f t="shared" si="157"/>
        <v>0.035</v>
      </c>
      <c r="P104" s="308">
        <f t="shared" si="158"/>
        <v>0.0042552230394498035</v>
      </c>
      <c r="Q104" s="309">
        <f t="shared" si="159"/>
        <v>0.04676989339956061</v>
      </c>
      <c r="R104" s="310">
        <f t="shared" si="160"/>
        <v>0.40685792067266885</v>
      </c>
      <c r="S104" s="311">
        <f t="shared" si="161"/>
        <v>0.049464891366542314</v>
      </c>
      <c r="T104" s="312">
        <f t="shared" si="162"/>
        <v>0.5436771879607888</v>
      </c>
      <c r="U104" s="310">
        <f t="shared" si="163"/>
        <v>0.8552510406272551</v>
      </c>
      <c r="V104" s="311"/>
      <c r="W104" s="312">
        <f t="shared" si="164"/>
        <v>0.14474895937274487</v>
      </c>
      <c r="X104" s="310">
        <f t="shared" si="165"/>
        <v>0.04</v>
      </c>
      <c r="Y104" s="311"/>
      <c r="Z104" s="312">
        <f t="shared" si="167"/>
        <v>0.006769893399560608</v>
      </c>
      <c r="AA104" s="311"/>
    </row>
    <row r="105" spans="1:27" ht="15.75">
      <c r="A105" s="305">
        <v>0.7</v>
      </c>
      <c r="B105" s="161" t="s">
        <v>137</v>
      </c>
      <c r="C105" s="236">
        <v>130000</v>
      </c>
      <c r="D105" s="162">
        <f>'no mortgage'!C105+'additional costs mortgage'!C105*'partial 70% mortgage'!A105</f>
        <v>5200</v>
      </c>
      <c r="E105" s="162">
        <f>'no mortgage'!D105+'additional costs mortgage'!D105*'partial 70% mortgage'!A105</f>
        <v>500</v>
      </c>
      <c r="F105" s="162">
        <f>'no mortgage'!E105+'additional costs mortgage'!E105*'partial 70% mortgage'!A105</f>
        <v>3850</v>
      </c>
      <c r="G105" s="162">
        <f>'no mortgage'!F105+'additional costs mortgage'!F105*'partial 70% mortgage'!A105</f>
        <v>1322.75</v>
      </c>
      <c r="H105" s="162">
        <f>'no mortgage'!G105+'additional costs mortgage'!G105*'partial 70% mortgage'!A105</f>
        <v>14729</v>
      </c>
      <c r="I105" s="198">
        <f t="shared" si="153"/>
        <v>25601.75</v>
      </c>
      <c r="J105" s="162">
        <f t="shared" si="154"/>
        <v>10872.75</v>
      </c>
      <c r="K105" s="162">
        <f t="shared" si="155"/>
        <v>9550</v>
      </c>
      <c r="L105" s="202">
        <v>0.19</v>
      </c>
      <c r="M105" s="203"/>
      <c r="N105" s="307">
        <f t="shared" si="156"/>
        <v>0.19693653846153847</v>
      </c>
      <c r="O105" s="308">
        <f t="shared" si="157"/>
        <v>0.1133</v>
      </c>
      <c r="P105" s="308">
        <f t="shared" si="158"/>
        <v>0.010175</v>
      </c>
      <c r="Q105" s="309">
        <f t="shared" si="159"/>
        <v>0.07346153846153847</v>
      </c>
      <c r="R105" s="310">
        <f t="shared" si="160"/>
        <v>0.5753122345152187</v>
      </c>
      <c r="S105" s="311">
        <f t="shared" si="161"/>
        <v>0.051666389992871584</v>
      </c>
      <c r="T105" s="312">
        <f t="shared" si="162"/>
        <v>0.3730213754919097</v>
      </c>
      <c r="U105" s="310">
        <f t="shared" si="163"/>
        <v>0.5445026178010471</v>
      </c>
      <c r="V105" s="311">
        <f>E105/K105</f>
        <v>0.05235602094240838</v>
      </c>
      <c r="W105" s="312">
        <f t="shared" si="164"/>
        <v>0.4031413612565445</v>
      </c>
      <c r="X105" s="310">
        <f t="shared" si="165"/>
        <v>0.04</v>
      </c>
      <c r="Y105" s="311">
        <f>E105/C105</f>
        <v>0.0038461538461538464</v>
      </c>
      <c r="Z105" s="312">
        <f t="shared" si="167"/>
        <v>0.029615384615384616</v>
      </c>
      <c r="AA105" s="311"/>
    </row>
    <row r="106" spans="1:27" ht="15.75">
      <c r="A106" s="305">
        <v>0.7</v>
      </c>
      <c r="B106" s="161" t="s">
        <v>138</v>
      </c>
      <c r="C106" s="236">
        <v>100000</v>
      </c>
      <c r="D106" s="162">
        <f>'no mortgage'!C106+'additional costs mortgage'!C106*'partial 70% mortgage'!A106</f>
        <v>6500</v>
      </c>
      <c r="E106" s="197" t="s">
        <v>43</v>
      </c>
      <c r="F106" s="162">
        <f>'no mortgage'!E106+'additional costs mortgage'!E106*'partial 70% mortgage'!A106</f>
        <v>1728</v>
      </c>
      <c r="G106" s="162">
        <f>'no mortgage'!F106+'additional costs mortgage'!F106*'partial 70% mortgage'!A106</f>
        <v>48.8</v>
      </c>
      <c r="H106" s="162">
        <f>'no mortgage'!G106+'additional costs mortgage'!G106*'partial 70% mortgage'!A106</f>
        <v>5420</v>
      </c>
      <c r="I106" s="198">
        <f t="shared" si="153"/>
        <v>13696.8</v>
      </c>
      <c r="J106" s="162">
        <f t="shared" si="154"/>
        <v>8276.8</v>
      </c>
      <c r="K106" s="162">
        <f t="shared" si="155"/>
        <v>8228</v>
      </c>
      <c r="L106" s="202">
        <v>0.2</v>
      </c>
      <c r="M106" s="203"/>
      <c r="N106" s="307">
        <f t="shared" si="156"/>
        <v>0.136968</v>
      </c>
      <c r="O106" s="308">
        <f t="shared" si="157"/>
        <v>0.0542</v>
      </c>
      <c r="P106" s="308">
        <f t="shared" si="158"/>
        <v>0.000488</v>
      </c>
      <c r="Q106" s="309">
        <f t="shared" si="159"/>
        <v>0.08228</v>
      </c>
      <c r="R106" s="310">
        <f t="shared" si="160"/>
        <v>0.3957128672390632</v>
      </c>
      <c r="S106" s="311">
        <f t="shared" si="161"/>
        <v>0.0035628760002336312</v>
      </c>
      <c r="T106" s="312">
        <f t="shared" si="162"/>
        <v>0.6007242567607033</v>
      </c>
      <c r="U106" s="310">
        <f t="shared" si="163"/>
        <v>0.7899854156538648</v>
      </c>
      <c r="V106" s="311"/>
      <c r="W106" s="312">
        <f t="shared" si="164"/>
        <v>0.21001458434613515</v>
      </c>
      <c r="X106" s="310">
        <f t="shared" si="165"/>
        <v>0.065</v>
      </c>
      <c r="Y106" s="311"/>
      <c r="Z106" s="312">
        <f t="shared" si="167"/>
        <v>0.01728</v>
      </c>
      <c r="AA106" s="311"/>
    </row>
    <row r="107" spans="1:27" ht="15.75">
      <c r="A107" s="305">
        <v>0.7</v>
      </c>
      <c r="B107" s="161" t="s">
        <v>139</v>
      </c>
      <c r="C107" s="330">
        <f>(276221+330399)/2</f>
        <v>303310</v>
      </c>
      <c r="D107" s="162">
        <f>'no mortgage'!C107+'additional costs mortgage'!C107*'partial 70% mortgage'!A107</f>
        <v>2959.58</v>
      </c>
      <c r="E107" s="162">
        <f>'no mortgage'!D107+'additional costs mortgage'!D107*'partial 70% mortgage'!A107</f>
        <v>631.4704</v>
      </c>
      <c r="F107" s="162">
        <f>'no mortgage'!E107+'additional costs mortgage'!E107*'partial 70% mortgage'!A107</f>
        <v>2426.48</v>
      </c>
      <c r="G107" s="162">
        <f>'no mortgage'!F107+'additional costs mortgage'!F107*'partial 70% mortgage'!A107</f>
        <v>428.31</v>
      </c>
      <c r="H107" s="162">
        <f>'no mortgage'!G107+'additional costs mortgage'!G107*'partial 70% mortgage'!A107</f>
        <v>15864.1</v>
      </c>
      <c r="I107" s="198">
        <f t="shared" si="153"/>
        <v>22309.9404</v>
      </c>
      <c r="J107" s="162">
        <f t="shared" si="154"/>
        <v>6445.8404</v>
      </c>
      <c r="K107" s="162">
        <f t="shared" si="155"/>
        <v>6017.5304</v>
      </c>
      <c r="L107" s="202">
        <v>0.21</v>
      </c>
      <c r="M107" s="203"/>
      <c r="N107" s="307">
        <f t="shared" si="156"/>
        <v>0.07355491213609838</v>
      </c>
      <c r="O107" s="308">
        <f t="shared" si="157"/>
        <v>0.05230325409646896</v>
      </c>
      <c r="P107" s="308">
        <f t="shared" si="158"/>
        <v>0.0014121196135966504</v>
      </c>
      <c r="Q107" s="309">
        <f t="shared" si="159"/>
        <v>0.019839538426032772</v>
      </c>
      <c r="R107" s="310">
        <f t="shared" si="160"/>
        <v>0.7110776503912131</v>
      </c>
      <c r="S107" s="311">
        <f t="shared" si="161"/>
        <v>0.019198168723032538</v>
      </c>
      <c r="T107" s="312">
        <f t="shared" si="162"/>
        <v>0.2697241808857544</v>
      </c>
      <c r="U107" s="310">
        <f t="shared" si="163"/>
        <v>0.4918263478984668</v>
      </c>
      <c r="V107" s="311">
        <f>E107/K107</f>
        <v>0.10493846445711352</v>
      </c>
      <c r="W107" s="312">
        <f t="shared" si="164"/>
        <v>0.40323518764441973</v>
      </c>
      <c r="X107" s="310">
        <f t="shared" si="165"/>
        <v>0.009757607728066994</v>
      </c>
      <c r="Y107" s="311">
        <f>E107/C107</f>
        <v>0.0020819306979657777</v>
      </c>
      <c r="Z107" s="312">
        <f t="shared" si="167"/>
        <v>0.008</v>
      </c>
      <c r="AA107" s="311"/>
    </row>
    <row r="108" spans="1:27" ht="15.75">
      <c r="A108" s="305">
        <v>0.7</v>
      </c>
      <c r="B108" s="161" t="s">
        <v>140</v>
      </c>
      <c r="C108" s="330">
        <v>129532</v>
      </c>
      <c r="D108" s="162">
        <f>'no mortgage'!C108+'additional costs mortgage'!C108*'partial 70% mortgage'!A108</f>
        <v>7771.92</v>
      </c>
      <c r="E108" s="197" t="s">
        <v>43</v>
      </c>
      <c r="F108" s="162">
        <f>'no mortgage'!E108+'additional costs mortgage'!E108*'partial 70% mortgage'!A108</f>
        <v>2501.31088</v>
      </c>
      <c r="G108" s="162">
        <f>'no mortgage'!F108+'additional costs mortgage'!F108*'partial 70% mortgage'!A108</f>
        <v>139.21</v>
      </c>
      <c r="H108" s="162">
        <f>'no mortgage'!G108+'additional costs mortgage'!G108*'partial 70% mortgage'!A108</f>
        <v>2458.58</v>
      </c>
      <c r="I108" s="198">
        <f t="shared" si="153"/>
        <v>12871.020879999998</v>
      </c>
      <c r="J108" s="162">
        <f t="shared" si="154"/>
        <v>10412.440879999998</v>
      </c>
      <c r="K108" s="162">
        <f t="shared" si="155"/>
        <v>10273.23088</v>
      </c>
      <c r="L108" s="202">
        <v>0.2</v>
      </c>
      <c r="M108" s="203"/>
      <c r="N108" s="307">
        <f t="shared" si="156"/>
        <v>0.09936556897137386</v>
      </c>
      <c r="O108" s="308">
        <f t="shared" si="157"/>
        <v>0.018980483587067287</v>
      </c>
      <c r="P108" s="308">
        <f t="shared" si="158"/>
        <v>0.001074715128308063</v>
      </c>
      <c r="Q108" s="309">
        <f t="shared" si="159"/>
        <v>0.0793103702559985</v>
      </c>
      <c r="R108" s="310">
        <f t="shared" si="160"/>
        <v>0.1910167051177995</v>
      </c>
      <c r="S108" s="311">
        <f t="shared" si="161"/>
        <v>0.010815769883204481</v>
      </c>
      <c r="T108" s="312">
        <f t="shared" si="162"/>
        <v>0.7981675249989961</v>
      </c>
      <c r="U108" s="310">
        <f t="shared" si="163"/>
        <v>0.7565214965751846</v>
      </c>
      <c r="V108" s="311"/>
      <c r="W108" s="312">
        <f t="shared" si="164"/>
        <v>0.24347850342481547</v>
      </c>
      <c r="X108" s="310">
        <f t="shared" si="165"/>
        <v>0.06</v>
      </c>
      <c r="Y108" s="311"/>
      <c r="Z108" s="312">
        <f t="shared" si="167"/>
        <v>0.019310370255998518</v>
      </c>
      <c r="AA108" s="311"/>
    </row>
    <row r="109" spans="1:27" ht="15.75">
      <c r="A109" s="305">
        <v>0.7</v>
      </c>
      <c r="B109" s="161" t="s">
        <v>141</v>
      </c>
      <c r="C109" s="237">
        <v>202000</v>
      </c>
      <c r="D109" s="162">
        <f>'no mortgage'!C109+'additional costs mortgage'!C109*'partial 70% mortgage'!A109</f>
        <v>3737</v>
      </c>
      <c r="E109" s="197" t="s">
        <v>43</v>
      </c>
      <c r="F109" s="162">
        <f>'no mortgage'!E109+'additional costs mortgage'!E109*'partial 70% mortgage'!A109</f>
        <v>1121.828</v>
      </c>
      <c r="G109" s="162">
        <f>'no mortgage'!F109+'additional costs mortgage'!F109*'partial 70% mortgage'!A109</f>
        <v>164.1</v>
      </c>
      <c r="H109" s="162">
        <f>'no mortgage'!G109+'additional costs mortgage'!G109*'partial 70% mortgage'!A109</f>
        <v>12120</v>
      </c>
      <c r="I109" s="198">
        <f t="shared" si="153"/>
        <v>17142.928</v>
      </c>
      <c r="J109" s="162">
        <f t="shared" si="154"/>
        <v>5022.928</v>
      </c>
      <c r="K109" s="162">
        <f t="shared" si="155"/>
        <v>4858.8279999999995</v>
      </c>
      <c r="L109" s="202">
        <v>0.19</v>
      </c>
      <c r="M109" s="203"/>
      <c r="N109" s="307">
        <f t="shared" si="156"/>
        <v>0.0848659801980198</v>
      </c>
      <c r="O109" s="308">
        <f t="shared" si="157"/>
        <v>0.06</v>
      </c>
      <c r="P109" s="308">
        <f t="shared" si="158"/>
        <v>0.0008123762376237623</v>
      </c>
      <c r="Q109" s="309">
        <f t="shared" si="159"/>
        <v>0.024053603960396037</v>
      </c>
      <c r="R109" s="310">
        <f t="shared" si="160"/>
        <v>0.706997077745412</v>
      </c>
      <c r="S109" s="311">
        <f t="shared" si="161"/>
        <v>0.009572460433830206</v>
      </c>
      <c r="T109" s="312">
        <f t="shared" si="162"/>
        <v>0.28343046182075776</v>
      </c>
      <c r="U109" s="310">
        <f t="shared" si="163"/>
        <v>0.7691155150995261</v>
      </c>
      <c r="V109" s="311"/>
      <c r="W109" s="312">
        <f t="shared" si="164"/>
        <v>0.23088448490047395</v>
      </c>
      <c r="X109" s="310">
        <f t="shared" si="165"/>
        <v>0.0185</v>
      </c>
      <c r="Y109" s="311"/>
      <c r="Z109" s="312">
        <f t="shared" si="167"/>
        <v>0.0055536039603960394</v>
      </c>
      <c r="AA109" s="311"/>
    </row>
    <row r="110" spans="1:27" ht="15.75">
      <c r="A110" s="305">
        <v>0.7</v>
      </c>
      <c r="B110" s="161" t="s">
        <v>196</v>
      </c>
      <c r="C110" s="236">
        <v>100000</v>
      </c>
      <c r="D110" s="162">
        <f>'no mortgage'!C110+'additional costs mortgage'!C110*'partial 70% mortgage'!A110</f>
        <v>2000</v>
      </c>
      <c r="E110" s="162">
        <f>'additional costs mortgage'!D110*'partial 70% mortgage'!A110</f>
        <v>175</v>
      </c>
      <c r="F110" s="162">
        <f>'no mortgage'!E110+'additional costs mortgage'!E110*'partial 70% mortgage'!A110</f>
        <v>677</v>
      </c>
      <c r="G110" s="162">
        <f>'no mortgage'!F110+'additional costs mortgage'!F110*'partial 70% mortgage'!A110</f>
        <v>50</v>
      </c>
      <c r="H110" s="162">
        <f>'no mortgage'!G110+'additional costs mortgage'!G110*'partial 70% mortgage'!A110</f>
        <v>12017.5</v>
      </c>
      <c r="I110" s="198">
        <f t="shared" si="153"/>
        <v>14919.5</v>
      </c>
      <c r="J110" s="162">
        <f t="shared" si="154"/>
        <v>2902</v>
      </c>
      <c r="K110" s="162">
        <f t="shared" si="155"/>
        <v>2852</v>
      </c>
      <c r="L110" s="202">
        <v>0.22</v>
      </c>
      <c r="M110" s="203"/>
      <c r="N110" s="307">
        <f t="shared" si="156"/>
        <v>0.149195</v>
      </c>
      <c r="O110" s="308">
        <f t="shared" si="157"/>
        <v>0.120175</v>
      </c>
      <c r="P110" s="308">
        <f t="shared" si="158"/>
        <v>0.0005</v>
      </c>
      <c r="Q110" s="309">
        <f t="shared" si="159"/>
        <v>0.02852</v>
      </c>
      <c r="R110" s="310">
        <f t="shared" si="160"/>
        <v>0.8054894601025504</v>
      </c>
      <c r="S110" s="311">
        <f t="shared" si="161"/>
        <v>0.0033513187439257346</v>
      </c>
      <c r="T110" s="312">
        <f t="shared" si="162"/>
        <v>0.1911592211535239</v>
      </c>
      <c r="U110" s="310">
        <f t="shared" si="163"/>
        <v>0.7012622720897616</v>
      </c>
      <c r="V110" s="311">
        <f>E110/K110</f>
        <v>0.061360448807854136</v>
      </c>
      <c r="W110" s="312">
        <f t="shared" si="164"/>
        <v>0.2373772791023843</v>
      </c>
      <c r="X110" s="310">
        <f t="shared" si="165"/>
        <v>0.02</v>
      </c>
      <c r="Y110" s="311">
        <f>E110/C110</f>
        <v>0.00175</v>
      </c>
      <c r="Z110" s="312">
        <f t="shared" si="167"/>
        <v>0.00677</v>
      </c>
      <c r="AA110" s="311"/>
    </row>
    <row r="111" spans="1:27" ht="15.75">
      <c r="A111" s="305">
        <v>0.7</v>
      </c>
      <c r="B111" s="161" t="s">
        <v>193</v>
      </c>
      <c r="C111" s="236">
        <v>100000</v>
      </c>
      <c r="D111" s="162">
        <f>'no mortgage'!C111+'additional costs mortgage'!C111*'partial 70% mortgage'!A111</f>
        <v>3750</v>
      </c>
      <c r="E111" s="162">
        <f>'additional costs mortgage'!D111*'partial 70% mortgage'!A111</f>
        <v>192.5</v>
      </c>
      <c r="F111" s="162">
        <f>'no mortgage'!E111+'additional costs mortgage'!E111*'partial 70% mortgage'!A111</f>
        <v>510.4</v>
      </c>
      <c r="G111" s="162">
        <f>'no mortgage'!F111+'additional costs mortgage'!F111*'partial 70% mortgage'!A111</f>
        <v>219.5</v>
      </c>
      <c r="H111" s="162">
        <f>'no mortgage'!G111+'additional costs mortgage'!G111*'partial 70% mortgage'!A111</f>
        <v>1220</v>
      </c>
      <c r="I111" s="198">
        <f>SUM(D111:H111)</f>
        <v>5892.4</v>
      </c>
      <c r="J111" s="162">
        <f>SUM(D111:G111)</f>
        <v>4672.4</v>
      </c>
      <c r="K111" s="162">
        <f>SUM(D111:F111)</f>
        <v>4452.9</v>
      </c>
      <c r="L111" s="202">
        <v>0.21</v>
      </c>
      <c r="M111" s="203"/>
      <c r="N111" s="307">
        <f>I111/C111</f>
        <v>0.058924</v>
      </c>
      <c r="O111" s="308">
        <f>H111/C111</f>
        <v>0.0122</v>
      </c>
      <c r="P111" s="308">
        <f>G111/C111</f>
        <v>0.002195</v>
      </c>
      <c r="Q111" s="309">
        <f>K111/C111</f>
        <v>0.044529</v>
      </c>
      <c r="R111" s="310">
        <f>H111/I111</f>
        <v>0.2070463648089064</v>
      </c>
      <c r="S111" s="311">
        <f>G111/I111</f>
        <v>0.03725137465209422</v>
      </c>
      <c r="T111" s="312">
        <f>K111/I111</f>
        <v>0.7557022605389994</v>
      </c>
      <c r="U111" s="310">
        <f>D111/K111</f>
        <v>0.8421478137842755</v>
      </c>
      <c r="V111" s="311">
        <f>E111/K111</f>
        <v>0.04323025444092614</v>
      </c>
      <c r="W111" s="312">
        <f>F111/K111</f>
        <v>0.11462193177479844</v>
      </c>
      <c r="X111" s="310">
        <f>D111/C111</f>
        <v>0.0375</v>
      </c>
      <c r="Y111" s="311">
        <f>E111/C111</f>
        <v>0.001925</v>
      </c>
      <c r="Z111" s="312">
        <f>F111/C111</f>
        <v>0.005104</v>
      </c>
      <c r="AA111" s="311"/>
    </row>
    <row r="112" spans="1:27" ht="15.75">
      <c r="A112" s="305">
        <v>0.7</v>
      </c>
      <c r="B112" s="331" t="s">
        <v>142</v>
      </c>
      <c r="C112" s="330">
        <v>193860</v>
      </c>
      <c r="D112" s="162">
        <f>'no mortgage'!C112+'additional costs mortgage'!C112*'partial 70% mortgage'!A112</f>
        <v>1938.6000000000001</v>
      </c>
      <c r="E112" s="162">
        <f>'no mortgage'!D112+'additional costs mortgage'!D112*'partial 70% mortgage'!A112</f>
        <v>516.9128000000001</v>
      </c>
      <c r="F112" s="162">
        <f>'no mortgage'!E112+'additional costs mortgage'!E112*'partial 70% mortgage'!A112</f>
        <v>1623.9930933333335</v>
      </c>
      <c r="G112" s="162">
        <f>'no mortgage'!F112+'additional costs mortgage'!F112*'partial 70% mortgage'!A112</f>
        <v>455.08906666666667</v>
      </c>
      <c r="H112" s="162">
        <f>'no mortgage'!G112+'additional costs mortgage'!G112*'partial 70% mortgage'!A112</f>
        <v>1938.6000000000001</v>
      </c>
      <c r="I112" s="198">
        <f t="shared" si="153"/>
        <v>6473.194960000001</v>
      </c>
      <c r="J112" s="162">
        <f t="shared" si="154"/>
        <v>4534.59496</v>
      </c>
      <c r="K112" s="162">
        <f t="shared" si="155"/>
        <v>4079.505893333334</v>
      </c>
      <c r="L112" s="202">
        <v>0.175</v>
      </c>
      <c r="M112" s="203"/>
      <c r="N112" s="307">
        <f t="shared" si="156"/>
        <v>0.033391080986278764</v>
      </c>
      <c r="O112" s="308">
        <f t="shared" si="157"/>
        <v>0.01</v>
      </c>
      <c r="P112" s="308">
        <f t="shared" si="158"/>
        <v>0.002347514013549297</v>
      </c>
      <c r="Q112" s="309">
        <f t="shared" si="159"/>
        <v>0.021043566972729463</v>
      </c>
      <c r="R112" s="310">
        <f t="shared" si="160"/>
        <v>0.2994811699600038</v>
      </c>
      <c r="S112" s="311">
        <f t="shared" si="161"/>
        <v>0.07030362432752475</v>
      </c>
      <c r="T112" s="312">
        <f t="shared" si="162"/>
        <v>0.6302152057124715</v>
      </c>
      <c r="U112" s="310">
        <f t="shared" si="163"/>
        <v>0.4752046082757303</v>
      </c>
      <c r="V112" s="311">
        <f>E112/K112</f>
        <v>0.1267096588448937</v>
      </c>
      <c r="W112" s="312">
        <f t="shared" si="164"/>
        <v>0.39808573287937593</v>
      </c>
      <c r="X112" s="310">
        <f t="shared" si="165"/>
        <v>0.01</v>
      </c>
      <c r="Y112" s="311">
        <f>E112/C112</f>
        <v>0.002666423191994223</v>
      </c>
      <c r="Z112" s="312">
        <f t="shared" si="167"/>
        <v>0.008377143780735239</v>
      </c>
      <c r="AA112" s="311"/>
    </row>
    <row r="113" spans="1:27" ht="15.75">
      <c r="A113" s="305">
        <v>0.7</v>
      </c>
      <c r="B113" s="331" t="s">
        <v>194</v>
      </c>
      <c r="C113" s="236">
        <v>100000</v>
      </c>
      <c r="D113" s="162">
        <f>'no mortgage'!C113+'additional costs mortgage'!C113*'partial 70% mortgage'!A113</f>
        <v>2150</v>
      </c>
      <c r="E113" s="162">
        <f>'no mortgage'!D113+'additional costs mortgage'!D113*'partial 70% mortgage'!A113</f>
        <v>1020</v>
      </c>
      <c r="F113" s="162">
        <f>'no mortgage'!E113+'additional costs mortgage'!E113*'partial 70% mortgage'!A113</f>
        <v>420</v>
      </c>
      <c r="G113" s="162">
        <f>'no mortgage'!F113+'additional costs mortgage'!F113*'partial 70% mortgage'!A113</f>
        <v>60</v>
      </c>
      <c r="H113" s="162">
        <f>'no mortgage'!G113+'additional costs mortgage'!G113*'partial 70% mortgage'!A113</f>
        <v>0</v>
      </c>
      <c r="I113" s="198">
        <f>SUM(D113:H113)</f>
        <v>3650</v>
      </c>
      <c r="J113" s="162">
        <f>SUM(D113:G113)</f>
        <v>3650</v>
      </c>
      <c r="K113" s="162">
        <f>SUM(D113:F113)</f>
        <v>3590</v>
      </c>
      <c r="L113" s="202">
        <v>0.19</v>
      </c>
      <c r="M113" s="203"/>
      <c r="N113" s="307">
        <f>I113/C113</f>
        <v>0.0365</v>
      </c>
      <c r="O113" s="308">
        <f>H113/C113</f>
        <v>0</v>
      </c>
      <c r="P113" s="308">
        <f>G113/C113</f>
        <v>0.0006</v>
      </c>
      <c r="Q113" s="309">
        <f>K113/C113</f>
        <v>0.0359</v>
      </c>
      <c r="R113" s="310">
        <f>H113/I113</f>
        <v>0</v>
      </c>
      <c r="S113" s="311">
        <f>G113/I113</f>
        <v>0.01643835616438356</v>
      </c>
      <c r="T113" s="312">
        <f>K113/I113</f>
        <v>0.9835616438356164</v>
      </c>
      <c r="U113" s="310">
        <f>D113/K113</f>
        <v>0.5988857938718662</v>
      </c>
      <c r="V113" s="311">
        <f>E113/K113</f>
        <v>0.2841225626740947</v>
      </c>
      <c r="W113" s="312">
        <f>F113/K113</f>
        <v>0.116991643454039</v>
      </c>
      <c r="X113" s="310">
        <f>D113/C113</f>
        <v>0.0215</v>
      </c>
      <c r="Y113" s="311">
        <f>E113/C113</f>
        <v>0.0102</v>
      </c>
      <c r="Z113" s="312">
        <f>F113/C113</f>
        <v>0.0042</v>
      </c>
      <c r="AA113" s="311"/>
    </row>
    <row r="114" spans="1:27" ht="15.75">
      <c r="A114" s="305">
        <v>0.7</v>
      </c>
      <c r="B114" s="161" t="s">
        <v>143</v>
      </c>
      <c r="C114" s="236">
        <v>100000</v>
      </c>
      <c r="D114" s="162">
        <f>'no mortgage'!C114+'additional costs mortgage'!C114*'partial 70% mortgage'!A114</f>
        <v>4000</v>
      </c>
      <c r="E114" s="197" t="s">
        <v>43</v>
      </c>
      <c r="F114" s="162">
        <f>'no mortgage'!E114+'additional costs mortgage'!E114*'partial 70% mortgage'!A114</f>
        <v>810</v>
      </c>
      <c r="G114" s="162">
        <f>'no mortgage'!F114+'additional costs mortgage'!F114*'partial 70% mortgage'!A114</f>
        <v>123</v>
      </c>
      <c r="H114" s="162">
        <f>'no mortgage'!G114+'additional costs mortgage'!G114*'partial 70% mortgage'!A114</f>
        <v>2000</v>
      </c>
      <c r="I114" s="198">
        <f t="shared" si="153"/>
        <v>6933</v>
      </c>
      <c r="J114" s="162">
        <f t="shared" si="154"/>
        <v>4933</v>
      </c>
      <c r="K114" s="162">
        <f t="shared" si="155"/>
        <v>4810</v>
      </c>
      <c r="L114" s="202">
        <v>0.19</v>
      </c>
      <c r="M114" s="203"/>
      <c r="N114" s="307">
        <f t="shared" si="156"/>
        <v>0.06933</v>
      </c>
      <c r="O114" s="308">
        <f t="shared" si="157"/>
        <v>0.02</v>
      </c>
      <c r="P114" s="308">
        <f t="shared" si="158"/>
        <v>0.00123</v>
      </c>
      <c r="Q114" s="309">
        <f t="shared" si="159"/>
        <v>0.0481</v>
      </c>
      <c r="R114" s="310">
        <f t="shared" si="160"/>
        <v>0.28847540747151307</v>
      </c>
      <c r="S114" s="311">
        <f t="shared" si="161"/>
        <v>0.017741237559498052</v>
      </c>
      <c r="T114" s="312">
        <f t="shared" si="162"/>
        <v>0.6937833549689889</v>
      </c>
      <c r="U114" s="310">
        <f t="shared" si="163"/>
        <v>0.8316008316008316</v>
      </c>
      <c r="V114" s="311"/>
      <c r="W114" s="312">
        <f t="shared" si="164"/>
        <v>0.1683991683991684</v>
      </c>
      <c r="X114" s="310">
        <f t="shared" si="165"/>
        <v>0.04</v>
      </c>
      <c r="Y114" s="311"/>
      <c r="Z114" s="312">
        <f t="shared" si="167"/>
        <v>0.0081</v>
      </c>
      <c r="AA114" s="311"/>
    </row>
    <row r="115" spans="1:27" ht="15.75">
      <c r="A115" s="305">
        <v>0.7</v>
      </c>
      <c r="B115" s="161" t="s">
        <v>144</v>
      </c>
      <c r="C115" s="330">
        <v>172630</v>
      </c>
      <c r="D115" s="162">
        <f>'no mortgage'!C115+'additional costs mortgage'!C115*'partial 70% mortgage'!A115</f>
        <v>10357.8</v>
      </c>
      <c r="E115" s="162">
        <f>'additional costs mortgage'!D115*'partial 70% mortgage'!A115</f>
        <v>115.40368</v>
      </c>
      <c r="F115" s="162">
        <f>'no mortgage'!E115+'additional costs mortgage'!E115*'partial 70% mortgage'!A115</f>
        <v>1038.0126</v>
      </c>
      <c r="G115" s="162">
        <f>'no mortgage'!F115+'additional costs mortgage'!F115*'partial 70% mortgage'!A115</f>
        <v>270.60674</v>
      </c>
      <c r="H115" s="162">
        <f>'no mortgage'!G115+'additional costs mortgage'!G115*'partial 70% mortgage'!A115</f>
        <v>14138.397</v>
      </c>
      <c r="I115" s="198">
        <f t="shared" si="153"/>
        <v>25920.22002</v>
      </c>
      <c r="J115" s="162">
        <f t="shared" si="154"/>
        <v>11781.823019999998</v>
      </c>
      <c r="K115" s="162">
        <f t="shared" si="155"/>
        <v>11511.216279999999</v>
      </c>
      <c r="L115" s="202">
        <v>0.16</v>
      </c>
      <c r="M115" s="203"/>
      <c r="N115" s="307">
        <f t="shared" si="156"/>
        <v>0.15014898928343856</v>
      </c>
      <c r="O115" s="308">
        <f t="shared" si="157"/>
        <v>0.0819</v>
      </c>
      <c r="P115" s="308">
        <f t="shared" si="158"/>
        <v>0.001567553380061403</v>
      </c>
      <c r="Q115" s="309">
        <f t="shared" si="159"/>
        <v>0.06668143590337716</v>
      </c>
      <c r="R115" s="310">
        <f t="shared" si="160"/>
        <v>0.5454582171405503</v>
      </c>
      <c r="S115" s="311">
        <f t="shared" si="161"/>
        <v>0.01043998622662926</v>
      </c>
      <c r="T115" s="312">
        <f t="shared" si="162"/>
        <v>0.44410179663282034</v>
      </c>
      <c r="U115" s="310">
        <f t="shared" si="163"/>
        <v>0.8998006594660213</v>
      </c>
      <c r="V115" s="311">
        <f>E115/K115</f>
        <v>0.010025324621908678</v>
      </c>
      <c r="W115" s="312">
        <f t="shared" si="164"/>
        <v>0.09017401591207008</v>
      </c>
      <c r="X115" s="310">
        <f t="shared" si="165"/>
        <v>0.06</v>
      </c>
      <c r="Y115" s="311">
        <f>E115/C115</f>
        <v>0.0006685030411863523</v>
      </c>
      <c r="Z115" s="312">
        <f t="shared" si="167"/>
        <v>0.006012932862190813</v>
      </c>
      <c r="AA115" s="311"/>
    </row>
    <row r="116" spans="1:27" ht="15.75">
      <c r="A116" s="305">
        <v>0.7</v>
      </c>
      <c r="B116" s="161" t="s">
        <v>145</v>
      </c>
      <c r="C116" s="330">
        <f>(180000+115000)/2</f>
        <v>147500</v>
      </c>
      <c r="D116" s="206">
        <f>'no mortgage'!C116+'additional costs mortgage'!C116*'partial 70% mortgage'!A116</f>
        <v>4930</v>
      </c>
      <c r="E116" s="206">
        <f>'no mortgage'!D116+'additional costs mortgage'!D116*'partial 70% mortgage'!A116</f>
        <v>400</v>
      </c>
      <c r="F116" s="206">
        <f>'no mortgage'!E116+'additional costs mortgage'!E116*'partial 70% mortgage'!A116</f>
        <v>0</v>
      </c>
      <c r="G116" s="206">
        <f>'no mortgage'!F116+'additional costs mortgage'!F116*'partial 70% mortgage'!A116</f>
        <v>118</v>
      </c>
      <c r="H116" s="212">
        <f>'no mortgage'!G116+'additional costs mortgage'!G116*'partial 70% mortgage'!A116</f>
        <v>4277.5</v>
      </c>
      <c r="I116" s="208">
        <f t="shared" si="153"/>
        <v>9725.5</v>
      </c>
      <c r="J116" s="206">
        <f t="shared" si="154"/>
        <v>5448</v>
      </c>
      <c r="K116" s="206">
        <f t="shared" si="155"/>
        <v>5330</v>
      </c>
      <c r="L116" s="213">
        <v>0.25</v>
      </c>
      <c r="M116" s="203"/>
      <c r="N116" s="317">
        <f t="shared" si="156"/>
        <v>0.06593559322033898</v>
      </c>
      <c r="O116" s="308">
        <f t="shared" si="157"/>
        <v>0.029</v>
      </c>
      <c r="P116" s="308">
        <f t="shared" si="158"/>
        <v>0.0008</v>
      </c>
      <c r="Q116" s="309">
        <f t="shared" si="159"/>
        <v>0.036135593220338984</v>
      </c>
      <c r="R116" s="310">
        <f t="shared" si="160"/>
        <v>0.43982314533957123</v>
      </c>
      <c r="S116" s="311">
        <f t="shared" si="161"/>
        <v>0.012133052285229552</v>
      </c>
      <c r="T116" s="312">
        <f t="shared" si="162"/>
        <v>0.5480438023751992</v>
      </c>
      <c r="U116" s="209">
        <f t="shared" si="163"/>
        <v>0.924953095684803</v>
      </c>
      <c r="V116" s="311">
        <f>E116/K116</f>
        <v>0.075046904315197</v>
      </c>
      <c r="W116" s="210">
        <f t="shared" si="164"/>
        <v>0</v>
      </c>
      <c r="X116" s="209">
        <f t="shared" si="165"/>
        <v>0.033423728813559324</v>
      </c>
      <c r="Y116" s="311">
        <f>E116/C116</f>
        <v>0.002711864406779661</v>
      </c>
      <c r="Z116" s="210">
        <f t="shared" si="167"/>
        <v>0</v>
      </c>
      <c r="AA116" s="211"/>
    </row>
    <row r="117" spans="1:27" ht="15.75">
      <c r="A117" s="214" t="s">
        <v>27</v>
      </c>
      <c r="B117" s="239" t="s">
        <v>146</v>
      </c>
      <c r="C117" s="240">
        <f>SUM(C97:C116)/E118</f>
        <v>159828.6456677061</v>
      </c>
      <c r="D117" s="215">
        <f>(SUM(D97:D116))/E118</f>
        <v>5536.404575621385</v>
      </c>
      <c r="E117" s="215">
        <f>(SUM(E97:E116))/E118</f>
        <v>336.621844</v>
      </c>
      <c r="F117" s="215">
        <f>(SUM(F97:F116))/E118</f>
        <v>1402.5984701612492</v>
      </c>
      <c r="G117" s="215">
        <f>(SUM(G97:G116))/E118</f>
        <v>607.2652449014032</v>
      </c>
      <c r="H117" s="215">
        <f>(SUM(H97:H116))/E118</f>
        <v>6919.579155785929</v>
      </c>
      <c r="I117" s="208">
        <f>(SUM(I97:I116))/E118</f>
        <v>14802.469290469962</v>
      </c>
      <c r="J117" s="215">
        <f>(SUM(J97:J116))/E118</f>
        <v>7882.890134684038</v>
      </c>
      <c r="K117" s="215">
        <f>(SUM(K97:K116))/E118</f>
        <v>7275.624889782634</v>
      </c>
      <c r="L117" s="318"/>
      <c r="M117" s="216" t="s">
        <v>27</v>
      </c>
      <c r="N117" s="217">
        <f>(SUM(N97:N116))/E118</f>
        <v>0.09587616180142117</v>
      </c>
      <c r="O117" s="218">
        <f>(SUM(O97:O116))/E118</f>
        <v>0.04375879834513399</v>
      </c>
      <c r="P117" s="218">
        <f>(SUM(P97:P116))/E118</f>
        <v>0.003581531406737696</v>
      </c>
      <c r="Q117" s="218">
        <f>(SUM(Q97:Q116))/E118</f>
        <v>0.04853583204954949</v>
      </c>
      <c r="R117" s="219">
        <f>(SUM(R97:R116))/E118</f>
        <v>0.39338776571049955</v>
      </c>
      <c r="S117" s="218">
        <f>(SUM(S97:S116))/E118</f>
        <v>0.04174923341489421</v>
      </c>
      <c r="T117" s="218">
        <f>(SUM(T97:T116))/E118</f>
        <v>0.5648630008746062</v>
      </c>
      <c r="U117" s="219">
        <f>(SUM(U97:U116))/E118</f>
        <v>0.7436876889638772</v>
      </c>
      <c r="V117" s="218">
        <f>(SUM(V97:V116))/E118</f>
        <v>0.059334881574594434</v>
      </c>
      <c r="W117" s="218">
        <f>(SUM(W97:W116))/E118</f>
        <v>0.19697742946152857</v>
      </c>
      <c r="X117" s="219">
        <f>(SUM(X97:X116))/E118</f>
        <v>0.03718562996118678</v>
      </c>
      <c r="Y117" s="218">
        <f>(SUM(Y97:Y116))/J118</f>
        <v>0.003337900634717462</v>
      </c>
      <c r="Z117" s="220">
        <f>(SUM(Z97:Z116))/E118</f>
        <v>0.009180566675796354</v>
      </c>
      <c r="AA117" s="221"/>
    </row>
    <row r="118" spans="1:27" ht="15.75">
      <c r="A118" s="319"/>
      <c r="B118" s="328"/>
      <c r="D118" s="320" t="s">
        <v>44</v>
      </c>
      <c r="E118" s="321">
        <v>20</v>
      </c>
      <c r="F118" s="322"/>
      <c r="G118" s="320"/>
      <c r="H118" s="320"/>
      <c r="I118" s="320" t="s">
        <v>52</v>
      </c>
      <c r="J118" s="321">
        <v>13</v>
      </c>
      <c r="K118" s="323"/>
      <c r="L118" s="318"/>
      <c r="M118" s="222"/>
      <c r="N118" s="222"/>
      <c r="O118" s="222"/>
      <c r="P118" s="222"/>
      <c r="Q118" s="222"/>
      <c r="U118" s="324" t="s">
        <v>51</v>
      </c>
      <c r="V118" s="223">
        <f>(SUM(V97:V116))/J118</f>
        <v>0.09128443319168375</v>
      </c>
      <c r="X118" s="47"/>
      <c r="Y118" s="224"/>
      <c r="Z118" s="47"/>
      <c r="AA118" s="49"/>
    </row>
    <row r="119" spans="3:27" ht="15.75">
      <c r="C119" s="296"/>
      <c r="D119" s="225"/>
      <c r="M119" s="222"/>
      <c r="N119" s="222"/>
      <c r="O119" s="222"/>
      <c r="P119" s="222"/>
      <c r="Q119" s="222"/>
      <c r="W119" s="227" t="s">
        <v>61</v>
      </c>
      <c r="X119" s="227"/>
      <c r="Z119" s="227"/>
      <c r="AA119" s="227"/>
    </row>
    <row r="120" spans="1:3" ht="12.75">
      <c r="A120" s="294" t="s">
        <v>59</v>
      </c>
      <c r="C120" s="241" t="s">
        <v>60</v>
      </c>
    </row>
    <row r="121" spans="1:2" ht="12.75">
      <c r="A121" s="191" t="s">
        <v>109</v>
      </c>
      <c r="B121" s="191"/>
    </row>
    <row r="122" ht="12.75">
      <c r="A122" s="294" t="s">
        <v>108</v>
      </c>
    </row>
    <row r="126" spans="3:43" ht="12.75">
      <c r="C126" s="188" t="s">
        <v>157</v>
      </c>
      <c r="AN126" s="188" t="s">
        <v>164</v>
      </c>
      <c r="AQ126" s="188"/>
    </row>
    <row r="128" ht="12.75">
      <c r="AD128" s="188" t="s">
        <v>161</v>
      </c>
    </row>
    <row r="129" spans="1:46" ht="12.75">
      <c r="A129" s="295"/>
      <c r="B129" s="296"/>
      <c r="C129" s="296"/>
      <c r="D129" s="242"/>
      <c r="E129" s="172" t="s">
        <v>106</v>
      </c>
      <c r="F129" s="296"/>
      <c r="G129" s="332" t="s">
        <v>58</v>
      </c>
      <c r="H129" s="333" t="s">
        <v>67</v>
      </c>
      <c r="I129" s="171" t="s">
        <v>68</v>
      </c>
      <c r="J129" s="172" t="s">
        <v>69</v>
      </c>
      <c r="K129" s="172" t="s">
        <v>111</v>
      </c>
      <c r="L129" s="243"/>
      <c r="M129" s="171" t="s">
        <v>110</v>
      </c>
      <c r="N129" s="298"/>
      <c r="O129" s="416" t="s">
        <v>246</v>
      </c>
      <c r="P129" s="417"/>
      <c r="Q129" s="417"/>
      <c r="R129" s="418"/>
      <c r="T129" s="313"/>
      <c r="U129" s="242"/>
      <c r="V129" s="172" t="s">
        <v>175</v>
      </c>
      <c r="W129" s="296"/>
      <c r="X129" s="333"/>
      <c r="Y129" s="243" t="s">
        <v>176</v>
      </c>
      <c r="Z129" s="298"/>
      <c r="AM129" s="295"/>
      <c r="AN129" s="243" t="s">
        <v>166</v>
      </c>
      <c r="AO129" s="171"/>
      <c r="AP129" s="296"/>
      <c r="AQ129" s="333"/>
      <c r="AR129" s="243"/>
      <c r="AS129" s="171" t="s">
        <v>165</v>
      </c>
      <c r="AT129" s="298"/>
    </row>
    <row r="130" spans="1:46" ht="12.75">
      <c r="A130" s="299"/>
      <c r="B130" s="300"/>
      <c r="C130" s="306" t="s">
        <v>105</v>
      </c>
      <c r="D130" s="334">
        <v>100000</v>
      </c>
      <c r="E130" s="335">
        <v>250000</v>
      </c>
      <c r="F130" s="335">
        <v>500000</v>
      </c>
      <c r="G130" s="336" t="s">
        <v>71</v>
      </c>
      <c r="H130" s="337" t="s">
        <v>72</v>
      </c>
      <c r="I130" s="244" t="s">
        <v>73</v>
      </c>
      <c r="J130" s="24" t="s">
        <v>93</v>
      </c>
      <c r="K130" s="24" t="s">
        <v>112</v>
      </c>
      <c r="L130" s="245" t="s">
        <v>94</v>
      </c>
      <c r="M130" s="246" t="s">
        <v>95</v>
      </c>
      <c r="N130" s="304" t="s">
        <v>111</v>
      </c>
      <c r="O130" s="334">
        <v>100000</v>
      </c>
      <c r="P130" s="335">
        <v>250000</v>
      </c>
      <c r="Q130" s="335">
        <v>500000</v>
      </c>
      <c r="R130" s="247" t="s">
        <v>27</v>
      </c>
      <c r="T130" s="314"/>
      <c r="U130" s="334">
        <v>100000</v>
      </c>
      <c r="V130" s="335">
        <v>250000</v>
      </c>
      <c r="W130" s="335">
        <v>500000</v>
      </c>
      <c r="X130" s="337" t="s">
        <v>27</v>
      </c>
      <c r="Y130" s="245" t="s">
        <v>94</v>
      </c>
      <c r="Z130" s="304" t="s">
        <v>111</v>
      </c>
      <c r="AM130" s="299"/>
      <c r="AN130" s="334">
        <v>100000</v>
      </c>
      <c r="AO130" s="335">
        <v>250000</v>
      </c>
      <c r="AP130" s="335">
        <v>500000</v>
      </c>
      <c r="AQ130" s="337" t="s">
        <v>27</v>
      </c>
      <c r="AR130" s="245" t="s">
        <v>94</v>
      </c>
      <c r="AS130" s="246" t="s">
        <v>95</v>
      </c>
      <c r="AT130" s="304" t="s">
        <v>111</v>
      </c>
    </row>
    <row r="131" spans="1:46" ht="12.75">
      <c r="A131" s="174" t="s">
        <v>11</v>
      </c>
      <c r="B131" s="175"/>
      <c r="C131" s="62"/>
      <c r="D131" s="61"/>
      <c r="E131" s="328"/>
      <c r="F131" s="62"/>
      <c r="G131" s="248" t="s">
        <v>74</v>
      </c>
      <c r="H131" s="62"/>
      <c r="I131" s="61">
        <v>2005</v>
      </c>
      <c r="J131" s="62"/>
      <c r="K131" s="338" t="s">
        <v>113</v>
      </c>
      <c r="L131" s="248" t="s">
        <v>73</v>
      </c>
      <c r="M131" s="249" t="s">
        <v>96</v>
      </c>
      <c r="N131" s="338" t="s">
        <v>112</v>
      </c>
      <c r="O131" s="61"/>
      <c r="P131" s="62"/>
      <c r="Q131" s="62"/>
      <c r="R131" s="250" t="s">
        <v>94</v>
      </c>
      <c r="T131" s="251" t="s">
        <v>11</v>
      </c>
      <c r="U131" s="61"/>
      <c r="V131" s="328"/>
      <c r="W131" s="62"/>
      <c r="X131" s="249" t="s">
        <v>94</v>
      </c>
      <c r="Y131" s="248" t="s">
        <v>73</v>
      </c>
      <c r="Z131" s="338" t="s">
        <v>112</v>
      </c>
      <c r="AC131" s="295"/>
      <c r="AD131" s="243"/>
      <c r="AE131" s="171" t="s">
        <v>162</v>
      </c>
      <c r="AF131" s="296"/>
      <c r="AG131" s="333"/>
      <c r="AH131" s="243"/>
      <c r="AI131" s="171" t="s">
        <v>163</v>
      </c>
      <c r="AJ131" s="298"/>
      <c r="AM131" s="174" t="s">
        <v>11</v>
      </c>
      <c r="AN131" s="61"/>
      <c r="AO131" s="328"/>
      <c r="AP131" s="62"/>
      <c r="AQ131" s="249" t="s">
        <v>94</v>
      </c>
      <c r="AR131" s="248" t="s">
        <v>73</v>
      </c>
      <c r="AS131" s="249" t="s">
        <v>96</v>
      </c>
      <c r="AT131" s="338" t="s">
        <v>112</v>
      </c>
    </row>
    <row r="132" spans="1:46" ht="12.75">
      <c r="A132" s="173" t="s">
        <v>12</v>
      </c>
      <c r="B132" s="161"/>
      <c r="C132" s="162" t="s">
        <v>177</v>
      </c>
      <c r="D132" s="252">
        <f>F7</f>
        <v>1400</v>
      </c>
      <c r="E132" s="162">
        <f>F34</f>
        <v>1900</v>
      </c>
      <c r="F132" s="162">
        <f>F68</f>
        <v>2900</v>
      </c>
      <c r="G132" s="253">
        <f aca="true" t="shared" si="172" ref="G132:G151">C97</f>
        <v>150000</v>
      </c>
      <c r="H132" s="162">
        <f>F97</f>
        <v>1566.6666666666667</v>
      </c>
      <c r="I132" s="254">
        <v>1.029</v>
      </c>
      <c r="J132" s="255">
        <v>1.037</v>
      </c>
      <c r="K132" s="256">
        <v>28009</v>
      </c>
      <c r="L132" s="252">
        <f>H132/I132</f>
        <v>1522.5137674117268</v>
      </c>
      <c r="M132" s="162">
        <f aca="true" t="shared" si="173" ref="M132:M151">H132/J132</f>
        <v>1510.768241722919</v>
      </c>
      <c r="N132" s="339">
        <f aca="true" t="shared" si="174" ref="N132:N151">H132*22827/K132</f>
        <v>1276.8145953086507</v>
      </c>
      <c r="O132" s="257">
        <f>D132/100000</f>
        <v>0.014</v>
      </c>
      <c r="P132" s="258">
        <f aca="true" t="shared" si="175" ref="P132:P151">E132/250000</f>
        <v>0.0076</v>
      </c>
      <c r="Q132" s="258">
        <f aca="true" t="shared" si="176" ref="Q132:Q151">F132/500000</f>
        <v>0.0058</v>
      </c>
      <c r="R132" s="259">
        <f aca="true" t="shared" si="177" ref="R132:R151">H132/G132</f>
        <v>0.010444444444444445</v>
      </c>
      <c r="T132" s="173" t="s">
        <v>12</v>
      </c>
      <c r="U132" s="252">
        <f aca="true" t="shared" si="178" ref="U132:U151">D7</f>
        <v>6000</v>
      </c>
      <c r="V132" s="162">
        <f aca="true" t="shared" si="179" ref="V132:V151">D34</f>
        <v>15000</v>
      </c>
      <c r="W132" s="162">
        <f aca="true" t="shared" si="180" ref="W132:W151">D68</f>
        <v>30000</v>
      </c>
      <c r="X132" s="162">
        <f aca="true" t="shared" si="181" ref="X132:X151">D97</f>
        <v>9000</v>
      </c>
      <c r="Y132" s="252">
        <f aca="true" t="shared" si="182" ref="Y132:Y151">X132/I132</f>
        <v>8746.355685131197</v>
      </c>
      <c r="Z132" s="339">
        <f aca="true" t="shared" si="183" ref="Z132:Z151">X132*22827/K132</f>
        <v>7334.892356028419</v>
      </c>
      <c r="AC132" s="299"/>
      <c r="AD132" s="334">
        <v>100000</v>
      </c>
      <c r="AE132" s="335">
        <v>250000</v>
      </c>
      <c r="AF132" s="335">
        <v>500000</v>
      </c>
      <c r="AG132" s="337" t="s">
        <v>27</v>
      </c>
      <c r="AH132" s="245" t="s">
        <v>94</v>
      </c>
      <c r="AI132" s="246" t="s">
        <v>95</v>
      </c>
      <c r="AJ132" s="304" t="s">
        <v>111</v>
      </c>
      <c r="AM132" s="173" t="s">
        <v>12</v>
      </c>
      <c r="AN132" s="252">
        <f aca="true" t="shared" si="184" ref="AN132:AN151">I7</f>
        <v>12740</v>
      </c>
      <c r="AO132" s="162">
        <f aca="true" t="shared" si="185" ref="AO132:AO151">I34</f>
        <v>30250</v>
      </c>
      <c r="AP132" s="162">
        <f aca="true" t="shared" si="186" ref="AP132:AP151">I68</f>
        <v>59600</v>
      </c>
      <c r="AQ132" s="162">
        <f aca="true" t="shared" si="187" ref="AQ132:AQ151">I97</f>
        <v>18576.666666666668</v>
      </c>
      <c r="AR132" s="252">
        <f aca="true" t="shared" si="188" ref="AR132:AR151">AQ132/I161</f>
        <v>18053.126012309687</v>
      </c>
      <c r="AS132" s="162">
        <f aca="true" t="shared" si="189" ref="AS132:AS151">AQ132/J161</f>
        <v>17913.854066216652</v>
      </c>
      <c r="AT132" s="339">
        <f aca="true" t="shared" si="190" ref="AT132:AT151">AQ132*22827/K161</f>
        <v>15139.761148202364</v>
      </c>
    </row>
    <row r="133" spans="1:46" ht="12.75">
      <c r="A133" s="173" t="s">
        <v>13</v>
      </c>
      <c r="B133" s="161"/>
      <c r="C133" s="162" t="s">
        <v>177</v>
      </c>
      <c r="D133" s="252">
        <f>F8</f>
        <v>1986.728</v>
      </c>
      <c r="E133" s="162">
        <f>F35</f>
        <v>3080.828</v>
      </c>
      <c r="F133" s="162">
        <f>F69</f>
        <v>3304.04</v>
      </c>
      <c r="G133" s="340">
        <f t="shared" si="172"/>
        <v>167000</v>
      </c>
      <c r="H133" s="162">
        <f>F98</f>
        <v>2475.426</v>
      </c>
      <c r="I133" s="254">
        <v>1.043</v>
      </c>
      <c r="J133" s="255">
        <v>1.033</v>
      </c>
      <c r="K133" s="256">
        <v>28324</v>
      </c>
      <c r="L133" s="252">
        <f aca="true" t="shared" si="191" ref="L133:L151">H133/I133</f>
        <v>2373.3710450623203</v>
      </c>
      <c r="M133" s="162">
        <f t="shared" si="173"/>
        <v>2396.346563407551</v>
      </c>
      <c r="N133" s="339">
        <f t="shared" si="174"/>
        <v>1995.00597733371</v>
      </c>
      <c r="O133" s="257">
        <f aca="true" t="shared" si="192" ref="O133:O151">D133/100000</f>
        <v>0.01986728</v>
      </c>
      <c r="P133" s="258">
        <f t="shared" si="175"/>
        <v>0.012323312</v>
      </c>
      <c r="Q133" s="258">
        <f t="shared" si="176"/>
        <v>0.00660808</v>
      </c>
      <c r="R133" s="259">
        <f t="shared" si="177"/>
        <v>0.014822910179640719</v>
      </c>
      <c r="T133" s="173" t="s">
        <v>13</v>
      </c>
      <c r="U133" s="252">
        <f t="shared" si="178"/>
        <v>3000</v>
      </c>
      <c r="V133" s="162">
        <f t="shared" si="179"/>
        <v>7500</v>
      </c>
      <c r="W133" s="162">
        <f t="shared" si="180"/>
        <v>15000</v>
      </c>
      <c r="X133" s="162">
        <f t="shared" si="181"/>
        <v>5010</v>
      </c>
      <c r="Y133" s="252">
        <f t="shared" si="182"/>
        <v>4803.451581975072</v>
      </c>
      <c r="Z133" s="339">
        <f t="shared" si="183"/>
        <v>4037.6807654286117</v>
      </c>
      <c r="AC133" s="174" t="s">
        <v>11</v>
      </c>
      <c r="AD133" s="61"/>
      <c r="AE133" s="328"/>
      <c r="AF133" s="62"/>
      <c r="AG133" s="249" t="s">
        <v>94</v>
      </c>
      <c r="AH133" s="248" t="s">
        <v>73</v>
      </c>
      <c r="AI133" s="249" t="s">
        <v>96</v>
      </c>
      <c r="AJ133" s="338" t="s">
        <v>112</v>
      </c>
      <c r="AM133" s="173" t="s">
        <v>13</v>
      </c>
      <c r="AN133" s="252">
        <f t="shared" si="184"/>
        <v>17761.728</v>
      </c>
      <c r="AO133" s="162">
        <f t="shared" si="185"/>
        <v>42395.828</v>
      </c>
      <c r="AP133" s="162">
        <f t="shared" si="186"/>
        <v>81654.04000000001</v>
      </c>
      <c r="AQ133" s="162">
        <f t="shared" si="187"/>
        <v>29316.05933333333</v>
      </c>
      <c r="AR133" s="252">
        <f t="shared" si="188"/>
        <v>28107.439437519974</v>
      </c>
      <c r="AS133" s="162">
        <f t="shared" si="189"/>
        <v>28379.53468860923</v>
      </c>
      <c r="AT133" s="339">
        <f t="shared" si="190"/>
        <v>23626.52472821635</v>
      </c>
    </row>
    <row r="134" spans="1:46" ht="12.75">
      <c r="A134" s="299" t="s">
        <v>154</v>
      </c>
      <c r="B134" s="300"/>
      <c r="C134" s="341" t="s">
        <v>47</v>
      </c>
      <c r="D134" s="340">
        <f>F9</f>
        <v>850</v>
      </c>
      <c r="E134" s="341">
        <f>F36</f>
        <v>850</v>
      </c>
      <c r="F134" s="341">
        <f>F70</f>
        <v>850</v>
      </c>
      <c r="G134" s="253">
        <f t="shared" si="172"/>
        <v>100000</v>
      </c>
      <c r="H134" s="341">
        <f>F99</f>
        <v>850</v>
      </c>
      <c r="I134" s="254">
        <v>0.578</v>
      </c>
      <c r="J134" s="255">
        <v>0.738</v>
      </c>
      <c r="K134" s="256">
        <v>7337</v>
      </c>
      <c r="L134" s="252">
        <f t="shared" si="191"/>
        <v>1470.5882352941178</v>
      </c>
      <c r="M134" s="162">
        <f t="shared" si="173"/>
        <v>1151.7615176151762</v>
      </c>
      <c r="N134" s="339">
        <f t="shared" si="174"/>
        <v>2644.534550906365</v>
      </c>
      <c r="O134" s="257">
        <f t="shared" si="192"/>
        <v>0.0085</v>
      </c>
      <c r="P134" s="258">
        <f t="shared" si="175"/>
        <v>0.0034</v>
      </c>
      <c r="Q134" s="258">
        <f t="shared" si="176"/>
        <v>0.0017</v>
      </c>
      <c r="R134" s="259">
        <f t="shared" si="177"/>
        <v>0.0085</v>
      </c>
      <c r="T134" s="299" t="s">
        <v>154</v>
      </c>
      <c r="U134" s="340">
        <f t="shared" si="178"/>
        <v>5000</v>
      </c>
      <c r="V134" s="341">
        <f t="shared" si="179"/>
        <v>10000</v>
      </c>
      <c r="W134" s="341">
        <f t="shared" si="180"/>
        <v>15000</v>
      </c>
      <c r="X134" s="341">
        <f t="shared" si="181"/>
        <v>5000</v>
      </c>
      <c r="Y134" s="252">
        <f t="shared" si="182"/>
        <v>8650.519031141868</v>
      </c>
      <c r="Z134" s="339">
        <f t="shared" si="183"/>
        <v>15556.085593566853</v>
      </c>
      <c r="AC134" s="173" t="s">
        <v>12</v>
      </c>
      <c r="AD134" s="252">
        <f aca="true" t="shared" si="193" ref="AD134:AD153">K7</f>
        <v>7400</v>
      </c>
      <c r="AE134" s="162">
        <f aca="true" t="shared" si="194" ref="AE134:AE153">K34</f>
        <v>16900</v>
      </c>
      <c r="AF134" s="162">
        <f aca="true" t="shared" si="195" ref="AF134:AF153">K68</f>
        <v>32900</v>
      </c>
      <c r="AG134" s="162">
        <f aca="true" t="shared" si="196" ref="AG134:AG153">K97</f>
        <v>10566.666666666666</v>
      </c>
      <c r="AH134" s="252">
        <f aca="true" t="shared" si="197" ref="AH134:AH153">AG134/I161</f>
        <v>10268.869452542922</v>
      </c>
      <c r="AI134" s="162">
        <f aca="true" t="shared" si="198" ref="AI134:AI153">AG134/J161</f>
        <v>10189.649630343942</v>
      </c>
      <c r="AJ134" s="339">
        <f aca="true" t="shared" si="199" ref="AJ134:AJ153">AG134*22827/K161</f>
        <v>8611.70695133707</v>
      </c>
      <c r="AM134" s="299" t="s">
        <v>154</v>
      </c>
      <c r="AN134" s="340">
        <f t="shared" si="184"/>
        <v>6217</v>
      </c>
      <c r="AO134" s="341">
        <f t="shared" si="185"/>
        <v>11217</v>
      </c>
      <c r="AP134" s="341">
        <f t="shared" si="186"/>
        <v>16367</v>
      </c>
      <c r="AQ134" s="341">
        <f t="shared" si="187"/>
        <v>6217</v>
      </c>
      <c r="AR134" s="252">
        <f t="shared" si="188"/>
        <v>10756.0553633218</v>
      </c>
      <c r="AS134" s="162">
        <f t="shared" si="189"/>
        <v>8424.119241192411</v>
      </c>
      <c r="AT134" s="339">
        <f t="shared" si="190"/>
        <v>19342.436827041023</v>
      </c>
    </row>
    <row r="135" spans="1:47" ht="12.75">
      <c r="A135" s="299" t="s">
        <v>14</v>
      </c>
      <c r="B135" s="300"/>
      <c r="C135" s="341" t="s">
        <v>179</v>
      </c>
      <c r="D135" s="340">
        <f>1013+500</f>
        <v>1513</v>
      </c>
      <c r="E135" s="341">
        <f>1013+500</f>
        <v>1513</v>
      </c>
      <c r="F135" s="339">
        <f>1013+500</f>
        <v>1513</v>
      </c>
      <c r="G135" s="340">
        <f t="shared" si="172"/>
        <v>221742.5</v>
      </c>
      <c r="H135" s="341">
        <f>D135</f>
        <v>1513</v>
      </c>
      <c r="I135" s="254">
        <v>1.358</v>
      </c>
      <c r="J135" s="255">
        <v>1.321</v>
      </c>
      <c r="K135" s="256">
        <v>31202</v>
      </c>
      <c r="L135" s="252">
        <f t="shared" si="191"/>
        <v>1114.1384388807069</v>
      </c>
      <c r="M135" s="162">
        <f t="shared" si="173"/>
        <v>1145.344436033308</v>
      </c>
      <c r="N135" s="339">
        <f t="shared" si="174"/>
        <v>1106.8922184475355</v>
      </c>
      <c r="O135" s="257">
        <f t="shared" si="192"/>
        <v>0.01513</v>
      </c>
      <c r="P135" s="258">
        <f t="shared" si="175"/>
        <v>0.006052</v>
      </c>
      <c r="Q135" s="258">
        <f t="shared" si="176"/>
        <v>0.003026</v>
      </c>
      <c r="R135" s="259">
        <f t="shared" si="177"/>
        <v>0.006823229647000462</v>
      </c>
      <c r="T135" s="299" t="s">
        <v>14</v>
      </c>
      <c r="U135" s="340">
        <f t="shared" si="178"/>
        <v>4147</v>
      </c>
      <c r="V135" s="341">
        <f t="shared" si="179"/>
        <v>7747</v>
      </c>
      <c r="W135" s="339">
        <f t="shared" si="180"/>
        <v>13747</v>
      </c>
      <c r="X135" s="341">
        <f t="shared" si="181"/>
        <v>7068.82</v>
      </c>
      <c r="Y135" s="252">
        <f t="shared" si="182"/>
        <v>5205.316642120765</v>
      </c>
      <c r="Z135" s="339">
        <f t="shared" si="183"/>
        <v>5171.461897955259</v>
      </c>
      <c r="AA135" s="300"/>
      <c r="AB135" s="300"/>
      <c r="AC135" s="173" t="s">
        <v>13</v>
      </c>
      <c r="AD135" s="252">
        <f t="shared" si="193"/>
        <v>4986.728</v>
      </c>
      <c r="AE135" s="162">
        <f t="shared" si="194"/>
        <v>10580.828</v>
      </c>
      <c r="AF135" s="162">
        <f t="shared" si="195"/>
        <v>18304.04</v>
      </c>
      <c r="AG135" s="162">
        <f t="shared" si="196"/>
        <v>7485.4259999999995</v>
      </c>
      <c r="AH135" s="252">
        <f t="shared" si="197"/>
        <v>7176.8226270373925</v>
      </c>
      <c r="AI135" s="162">
        <f t="shared" si="198"/>
        <v>7246.298160696999</v>
      </c>
      <c r="AJ135" s="339">
        <f t="shared" si="199"/>
        <v>6032.686742762321</v>
      </c>
      <c r="AK135" s="300"/>
      <c r="AL135" s="300"/>
      <c r="AM135" s="299" t="s">
        <v>14</v>
      </c>
      <c r="AN135" s="340">
        <f t="shared" si="184"/>
        <v>8147.9</v>
      </c>
      <c r="AO135" s="341">
        <f t="shared" si="185"/>
        <v>14222.9</v>
      </c>
      <c r="AP135" s="339">
        <f t="shared" si="186"/>
        <v>24347.9</v>
      </c>
      <c r="AQ135" s="341">
        <f t="shared" si="187"/>
        <v>13078.47125</v>
      </c>
      <c r="AR135" s="252">
        <f t="shared" si="188"/>
        <v>9630.685751104565</v>
      </c>
      <c r="AS135" s="162">
        <f t="shared" si="189"/>
        <v>9900.432437547313</v>
      </c>
      <c r="AT135" s="339">
        <f t="shared" si="190"/>
        <v>9568.04894634158</v>
      </c>
      <c r="AU135" s="300"/>
    </row>
    <row r="136" spans="1:46" ht="12.75">
      <c r="A136" s="299" t="s">
        <v>0</v>
      </c>
      <c r="B136" s="300"/>
      <c r="C136" s="341" t="s">
        <v>47</v>
      </c>
      <c r="D136" s="340">
        <f>F11</f>
        <v>1060</v>
      </c>
      <c r="E136" s="341">
        <f>F38</f>
        <v>1345</v>
      </c>
      <c r="F136" s="341">
        <f>F72</f>
        <v>1700</v>
      </c>
      <c r="G136" s="340">
        <f t="shared" si="172"/>
        <v>297750</v>
      </c>
      <c r="H136" s="341">
        <f>F101</f>
        <v>1412.805</v>
      </c>
      <c r="I136" s="254">
        <v>1.049</v>
      </c>
      <c r="J136" s="255">
        <v>1.088</v>
      </c>
      <c r="K136" s="256">
        <v>33688</v>
      </c>
      <c r="L136" s="252">
        <f t="shared" si="191"/>
        <v>1346.811248808389</v>
      </c>
      <c r="M136" s="162">
        <f t="shared" si="173"/>
        <v>1298.5340073529412</v>
      </c>
      <c r="N136" s="339">
        <f t="shared" si="174"/>
        <v>957.3171377048208</v>
      </c>
      <c r="O136" s="257">
        <f t="shared" si="192"/>
        <v>0.0106</v>
      </c>
      <c r="P136" s="258">
        <f t="shared" si="175"/>
        <v>0.00538</v>
      </c>
      <c r="Q136" s="258">
        <f t="shared" si="176"/>
        <v>0.0034</v>
      </c>
      <c r="R136" s="259">
        <f t="shared" si="177"/>
        <v>0.0047449370277078086</v>
      </c>
      <c r="T136" s="299" t="s">
        <v>0</v>
      </c>
      <c r="U136" s="340">
        <f t="shared" si="178"/>
        <v>1651</v>
      </c>
      <c r="V136" s="341">
        <f t="shared" si="179"/>
        <v>3579</v>
      </c>
      <c r="W136" s="341">
        <f t="shared" si="180"/>
        <v>7001</v>
      </c>
      <c r="X136" s="341">
        <f t="shared" si="181"/>
        <v>4232.602</v>
      </c>
      <c r="Y136" s="252">
        <f t="shared" si="182"/>
        <v>4034.8922783603434</v>
      </c>
      <c r="Z136" s="339">
        <f t="shared" si="183"/>
        <v>2868.0125223818573</v>
      </c>
      <c r="AC136" s="299" t="s">
        <v>154</v>
      </c>
      <c r="AD136" s="340">
        <f t="shared" si="193"/>
        <v>6200</v>
      </c>
      <c r="AE136" s="341">
        <f t="shared" si="194"/>
        <v>11200</v>
      </c>
      <c r="AF136" s="341">
        <f t="shared" si="195"/>
        <v>16350</v>
      </c>
      <c r="AG136" s="341">
        <f t="shared" si="196"/>
        <v>6200</v>
      </c>
      <c r="AH136" s="252">
        <f t="shared" si="197"/>
        <v>10726.643598615918</v>
      </c>
      <c r="AI136" s="162">
        <f t="shared" si="198"/>
        <v>8401.084010840108</v>
      </c>
      <c r="AJ136" s="339">
        <f t="shared" si="199"/>
        <v>19289.5461360229</v>
      </c>
      <c r="AM136" s="299" t="s">
        <v>0</v>
      </c>
      <c r="AN136" s="340">
        <f t="shared" si="184"/>
        <v>3419</v>
      </c>
      <c r="AO136" s="341">
        <f t="shared" si="185"/>
        <v>8351.5</v>
      </c>
      <c r="AP136" s="341">
        <f t="shared" si="186"/>
        <v>24938.5</v>
      </c>
      <c r="AQ136" s="341">
        <f t="shared" si="187"/>
        <v>11519.617</v>
      </c>
      <c r="AR136" s="252">
        <f t="shared" si="188"/>
        <v>10981.522402287894</v>
      </c>
      <c r="AS136" s="162">
        <f t="shared" si="189"/>
        <v>10587.883272058823</v>
      </c>
      <c r="AT136" s="339">
        <f t="shared" si="190"/>
        <v>7805.696309041796</v>
      </c>
    </row>
    <row r="137" spans="1:46" ht="12.75">
      <c r="A137" s="299" t="s">
        <v>1</v>
      </c>
      <c r="B137" s="300"/>
      <c r="C137" s="341" t="s">
        <v>179</v>
      </c>
      <c r="D137" s="340">
        <v>930</v>
      </c>
      <c r="E137" s="341">
        <v>930</v>
      </c>
      <c r="F137" s="341">
        <v>930</v>
      </c>
      <c r="G137" s="340">
        <f t="shared" si="172"/>
        <v>123756</v>
      </c>
      <c r="H137" s="341">
        <f>D137</f>
        <v>930</v>
      </c>
      <c r="I137" s="254">
        <v>1.22</v>
      </c>
      <c r="J137" s="255">
        <v>1.128</v>
      </c>
      <c r="K137" s="256">
        <v>25006</v>
      </c>
      <c r="L137" s="252">
        <f t="shared" si="191"/>
        <v>762.2950819672132</v>
      </c>
      <c r="M137" s="162">
        <f t="shared" si="173"/>
        <v>824.4680851063831</v>
      </c>
      <c r="N137" s="339">
        <f t="shared" si="174"/>
        <v>848.9606494441334</v>
      </c>
      <c r="O137" s="257">
        <f t="shared" si="192"/>
        <v>0.0093</v>
      </c>
      <c r="P137" s="258">
        <f t="shared" si="175"/>
        <v>0.00372</v>
      </c>
      <c r="Q137" s="258">
        <f t="shared" si="176"/>
        <v>0.00186</v>
      </c>
      <c r="R137" s="259">
        <f t="shared" si="177"/>
        <v>0.007514787161834578</v>
      </c>
      <c r="T137" s="299" t="s">
        <v>1</v>
      </c>
      <c r="U137" s="340">
        <f t="shared" si="178"/>
        <v>3125</v>
      </c>
      <c r="V137" s="341">
        <f t="shared" si="179"/>
        <v>7812.5</v>
      </c>
      <c r="W137" s="341">
        <f t="shared" si="180"/>
        <v>15625</v>
      </c>
      <c r="X137" s="341">
        <f t="shared" si="181"/>
        <v>3867.375</v>
      </c>
      <c r="Y137" s="252">
        <f t="shared" si="182"/>
        <v>3169.9795081967213</v>
      </c>
      <c r="Z137" s="339">
        <f t="shared" si="183"/>
        <v>3530.3754748860274</v>
      </c>
      <c r="AC137" s="299" t="s">
        <v>14</v>
      </c>
      <c r="AD137" s="340">
        <f t="shared" si="193"/>
        <v>6180</v>
      </c>
      <c r="AE137" s="341">
        <f t="shared" si="194"/>
        <v>9780</v>
      </c>
      <c r="AF137" s="339">
        <f t="shared" si="195"/>
        <v>15780</v>
      </c>
      <c r="AG137" s="341">
        <f t="shared" si="196"/>
        <v>9101.82</v>
      </c>
      <c r="AH137" s="252">
        <f t="shared" si="197"/>
        <v>6702.371134020618</v>
      </c>
      <c r="AI137" s="162">
        <f t="shared" si="198"/>
        <v>6890.098410295231</v>
      </c>
      <c r="AJ137" s="339">
        <f t="shared" si="199"/>
        <v>6658.779730145503</v>
      </c>
      <c r="AM137" s="299" t="s">
        <v>1</v>
      </c>
      <c r="AN137" s="340">
        <f t="shared" si="184"/>
        <v>8250.8</v>
      </c>
      <c r="AO137" s="341">
        <f t="shared" si="185"/>
        <v>18938.3</v>
      </c>
      <c r="AP137" s="341">
        <f t="shared" si="186"/>
        <v>36750.8</v>
      </c>
      <c r="AQ137" s="341">
        <f t="shared" si="187"/>
        <v>9943.415</v>
      </c>
      <c r="AR137" s="252">
        <f t="shared" si="188"/>
        <v>8150.340163934427</v>
      </c>
      <c r="AS137" s="162">
        <f t="shared" si="189"/>
        <v>8815.084219858158</v>
      </c>
      <c r="AT137" s="339">
        <f t="shared" si="190"/>
        <v>9076.954899024235</v>
      </c>
    </row>
    <row r="138" spans="1:46" ht="12.75">
      <c r="A138" s="299" t="s">
        <v>2</v>
      </c>
      <c r="B138" s="300"/>
      <c r="C138" s="341" t="s">
        <v>177</v>
      </c>
      <c r="D138" s="340">
        <f aca="true" t="shared" si="200" ref="D138:D150">F13</f>
        <v>1422.731</v>
      </c>
      <c r="E138" s="341">
        <f aca="true" t="shared" si="201" ref="E138:E150">F40</f>
        <v>2948.9</v>
      </c>
      <c r="F138" s="341">
        <f aca="true" t="shared" si="202" ref="F138:F150">F74</f>
        <v>5492.5</v>
      </c>
      <c r="G138" s="340">
        <f t="shared" si="172"/>
        <v>226629.91335412173</v>
      </c>
      <c r="H138" s="341">
        <f aca="true" t="shared" si="203" ref="H138:H150">F103</f>
        <v>2711.1219882249775</v>
      </c>
      <c r="I138" s="254">
        <v>1.085</v>
      </c>
      <c r="J138" s="255">
        <v>1.069</v>
      </c>
      <c r="K138" s="256">
        <v>25050</v>
      </c>
      <c r="L138" s="252">
        <f t="shared" si="191"/>
        <v>2498.7299430644953</v>
      </c>
      <c r="M138" s="162">
        <f t="shared" si="173"/>
        <v>2536.129081594928</v>
      </c>
      <c r="N138" s="339">
        <f t="shared" si="174"/>
        <v>2470.530204599264</v>
      </c>
      <c r="O138" s="257">
        <f t="shared" si="192"/>
        <v>0.01422731</v>
      </c>
      <c r="P138" s="258">
        <f t="shared" si="175"/>
        <v>0.0117956</v>
      </c>
      <c r="Q138" s="258">
        <f t="shared" si="176"/>
        <v>0.010985</v>
      </c>
      <c r="R138" s="259">
        <f t="shared" si="177"/>
        <v>0.011962772028195148</v>
      </c>
      <c r="T138" s="299" t="s">
        <v>2</v>
      </c>
      <c r="U138" s="340">
        <f t="shared" si="178"/>
        <v>8000</v>
      </c>
      <c r="V138" s="341">
        <f t="shared" si="179"/>
        <v>17500</v>
      </c>
      <c r="W138" s="341">
        <f t="shared" si="180"/>
        <v>30000</v>
      </c>
      <c r="X138" s="341">
        <f t="shared" si="181"/>
        <v>16019.894512427709</v>
      </c>
      <c r="Y138" s="252">
        <f t="shared" si="182"/>
        <v>14764.879734956414</v>
      </c>
      <c r="Z138" s="339">
        <f t="shared" si="183"/>
        <v>14598.248783839812</v>
      </c>
      <c r="AC138" s="299" t="s">
        <v>0</v>
      </c>
      <c r="AD138" s="340">
        <f t="shared" si="193"/>
        <v>3329</v>
      </c>
      <c r="AE138" s="341">
        <f t="shared" si="194"/>
        <v>5606.5</v>
      </c>
      <c r="AF138" s="341">
        <f t="shared" si="195"/>
        <v>9533.5</v>
      </c>
      <c r="AG138" s="341">
        <f t="shared" si="196"/>
        <v>6356.557</v>
      </c>
      <c r="AH138" s="252">
        <f t="shared" si="197"/>
        <v>6059.634890371783</v>
      </c>
      <c r="AI138" s="162">
        <f t="shared" si="198"/>
        <v>5842.423713235294</v>
      </c>
      <c r="AJ138" s="339">
        <f t="shared" si="199"/>
        <v>4307.205136517454</v>
      </c>
      <c r="AM138" s="299" t="s">
        <v>2</v>
      </c>
      <c r="AN138" s="340">
        <f t="shared" si="184"/>
        <v>15117.731</v>
      </c>
      <c r="AO138" s="341">
        <f t="shared" si="185"/>
        <v>33936.4</v>
      </c>
      <c r="AP138" s="341">
        <f t="shared" si="186"/>
        <v>61967.5</v>
      </c>
      <c r="AQ138" s="341">
        <f t="shared" si="187"/>
        <v>31004.44049939931</v>
      </c>
      <c r="AR138" s="252">
        <f t="shared" si="188"/>
        <v>28575.52119760305</v>
      </c>
      <c r="AS138" s="162">
        <f t="shared" si="189"/>
        <v>29003.218427875876</v>
      </c>
      <c r="AT138" s="339">
        <f t="shared" si="190"/>
        <v>28253.028474243034</v>
      </c>
    </row>
    <row r="139" spans="1:46" ht="12.75">
      <c r="A139" s="299" t="s">
        <v>3</v>
      </c>
      <c r="B139" s="300"/>
      <c r="C139" s="341" t="s">
        <v>177</v>
      </c>
      <c r="D139" s="340">
        <f t="shared" si="200"/>
        <v>737.6</v>
      </c>
      <c r="E139" s="341">
        <f t="shared" si="201"/>
        <v>1458.5</v>
      </c>
      <c r="F139" s="341">
        <f t="shared" si="202"/>
        <v>2626.9</v>
      </c>
      <c r="G139" s="340">
        <f t="shared" si="172"/>
        <v>130862.5</v>
      </c>
      <c r="H139" s="341">
        <f t="shared" si="203"/>
        <v>885.925175</v>
      </c>
      <c r="I139" s="254">
        <v>1.041</v>
      </c>
      <c r="J139" s="255">
        <v>1.06</v>
      </c>
      <c r="K139" s="256">
        <v>31916</v>
      </c>
      <c r="L139" s="252">
        <f t="shared" si="191"/>
        <v>851.0328290105668</v>
      </c>
      <c r="M139" s="162">
        <f t="shared" si="173"/>
        <v>835.778466981132</v>
      </c>
      <c r="N139" s="339">
        <f t="shared" si="174"/>
        <v>633.6324717923611</v>
      </c>
      <c r="O139" s="257">
        <f t="shared" si="192"/>
        <v>0.007376000000000001</v>
      </c>
      <c r="P139" s="258">
        <f t="shared" si="175"/>
        <v>0.005834</v>
      </c>
      <c r="Q139" s="258">
        <f t="shared" si="176"/>
        <v>0.0052538</v>
      </c>
      <c r="R139" s="259">
        <f t="shared" si="177"/>
        <v>0.006769893399560608</v>
      </c>
      <c r="T139" s="299" t="s">
        <v>3</v>
      </c>
      <c r="U139" s="340">
        <f t="shared" si="178"/>
        <v>4000</v>
      </c>
      <c r="V139" s="341">
        <f t="shared" si="179"/>
        <v>10000</v>
      </c>
      <c r="W139" s="341">
        <f t="shared" si="180"/>
        <v>20000</v>
      </c>
      <c r="X139" s="341">
        <f t="shared" si="181"/>
        <v>5234.5</v>
      </c>
      <c r="Y139" s="252">
        <f t="shared" si="182"/>
        <v>5028.338136407301</v>
      </c>
      <c r="Z139" s="339">
        <f t="shared" si="183"/>
        <v>3743.8254010527635</v>
      </c>
      <c r="AC139" s="299" t="s">
        <v>1</v>
      </c>
      <c r="AD139" s="340">
        <f t="shared" si="193"/>
        <v>4155</v>
      </c>
      <c r="AE139" s="341">
        <f t="shared" si="194"/>
        <v>8842.5</v>
      </c>
      <c r="AF139" s="341">
        <f t="shared" si="195"/>
        <v>16655</v>
      </c>
      <c r="AG139" s="341">
        <f t="shared" si="196"/>
        <v>4897.375</v>
      </c>
      <c r="AH139" s="252">
        <f t="shared" si="197"/>
        <v>4014.2418032786886</v>
      </c>
      <c r="AI139" s="162">
        <f t="shared" si="198"/>
        <v>4341.644503546099</v>
      </c>
      <c r="AJ139" s="339">
        <f t="shared" si="199"/>
        <v>4470.62221566824</v>
      </c>
      <c r="AM139" s="299" t="s">
        <v>3</v>
      </c>
      <c r="AN139" s="340">
        <f t="shared" si="184"/>
        <v>8692.5</v>
      </c>
      <c r="AO139" s="341">
        <f t="shared" si="185"/>
        <v>21158.9</v>
      </c>
      <c r="AP139" s="341">
        <f t="shared" si="186"/>
        <v>41902.5</v>
      </c>
      <c r="AQ139" s="341">
        <f t="shared" si="187"/>
        <v>11257.461800000001</v>
      </c>
      <c r="AR139" s="252">
        <f t="shared" si="188"/>
        <v>10814.084341978869</v>
      </c>
      <c r="AS139" s="162">
        <f t="shared" si="189"/>
        <v>10620.246981132075</v>
      </c>
      <c r="AT139" s="339">
        <f t="shared" si="190"/>
        <v>8051.575401322221</v>
      </c>
    </row>
    <row r="140" spans="1:46" ht="12.75">
      <c r="A140" s="299" t="s">
        <v>15</v>
      </c>
      <c r="B140" s="300"/>
      <c r="C140" s="341" t="s">
        <v>65</v>
      </c>
      <c r="D140" s="340">
        <f t="shared" si="200"/>
        <v>3190</v>
      </c>
      <c r="E140" s="341">
        <f t="shared" si="201"/>
        <v>6490</v>
      </c>
      <c r="F140" s="341">
        <f t="shared" si="202"/>
        <v>11990</v>
      </c>
      <c r="G140" s="253">
        <f t="shared" si="172"/>
        <v>130000</v>
      </c>
      <c r="H140" s="341">
        <f t="shared" si="203"/>
        <v>3850</v>
      </c>
      <c r="I140" s="254">
        <v>0.878</v>
      </c>
      <c r="J140" s="255">
        <v>0.849</v>
      </c>
      <c r="K140" s="256">
        <v>17140</v>
      </c>
      <c r="L140" s="252">
        <f t="shared" si="191"/>
        <v>4384.96583143508</v>
      </c>
      <c r="M140" s="162">
        <f t="shared" si="173"/>
        <v>4534.746760895171</v>
      </c>
      <c r="N140" s="339">
        <f t="shared" si="174"/>
        <v>5127.418319719954</v>
      </c>
      <c r="O140" s="257">
        <f t="shared" si="192"/>
        <v>0.0319</v>
      </c>
      <c r="P140" s="258">
        <f t="shared" si="175"/>
        <v>0.02596</v>
      </c>
      <c r="Q140" s="258">
        <f t="shared" si="176"/>
        <v>0.02398</v>
      </c>
      <c r="R140" s="259">
        <f t="shared" si="177"/>
        <v>0.029615384615384616</v>
      </c>
      <c r="T140" s="299" t="s">
        <v>15</v>
      </c>
      <c r="U140" s="340">
        <f t="shared" si="178"/>
        <v>4000</v>
      </c>
      <c r="V140" s="341">
        <f t="shared" si="179"/>
        <v>10000</v>
      </c>
      <c r="W140" s="341">
        <f t="shared" si="180"/>
        <v>20000</v>
      </c>
      <c r="X140" s="341">
        <f t="shared" si="181"/>
        <v>5200</v>
      </c>
      <c r="Y140" s="252">
        <f t="shared" si="182"/>
        <v>5922.55125284738</v>
      </c>
      <c r="Z140" s="339">
        <f t="shared" si="183"/>
        <v>6925.34422403734</v>
      </c>
      <c r="AC140" s="299" t="s">
        <v>2</v>
      </c>
      <c r="AD140" s="340">
        <f t="shared" si="193"/>
        <v>9922.731</v>
      </c>
      <c r="AE140" s="341">
        <f t="shared" si="194"/>
        <v>20948.9</v>
      </c>
      <c r="AF140" s="341">
        <f t="shared" si="195"/>
        <v>35992.5</v>
      </c>
      <c r="AG140" s="341">
        <f t="shared" si="196"/>
        <v>19231.016500652688</v>
      </c>
      <c r="AH140" s="252">
        <f t="shared" si="197"/>
        <v>17724.439171108468</v>
      </c>
      <c r="AI140" s="162">
        <f t="shared" si="198"/>
        <v>17989.725444951066</v>
      </c>
      <c r="AJ140" s="339">
        <f t="shared" si="199"/>
        <v>17524.407730954048</v>
      </c>
      <c r="AM140" s="299" t="s">
        <v>15</v>
      </c>
      <c r="AN140" s="340">
        <f t="shared" si="184"/>
        <v>19753</v>
      </c>
      <c r="AO140" s="341">
        <f t="shared" si="185"/>
        <v>47555</v>
      </c>
      <c r="AP140" s="341">
        <f t="shared" si="186"/>
        <v>93903</v>
      </c>
      <c r="AQ140" s="341">
        <f t="shared" si="187"/>
        <v>25601.75</v>
      </c>
      <c r="AR140" s="252">
        <f t="shared" si="188"/>
        <v>29159.168564920274</v>
      </c>
      <c r="AS140" s="162">
        <f t="shared" si="189"/>
        <v>30155.182567726737</v>
      </c>
      <c r="AT140" s="339">
        <f t="shared" si="190"/>
        <v>34096.33297841307</v>
      </c>
    </row>
    <row r="141" spans="1:46" ht="12.75">
      <c r="A141" s="299" t="s">
        <v>19</v>
      </c>
      <c r="B141" s="300"/>
      <c r="C141" s="341" t="s">
        <v>65</v>
      </c>
      <c r="D141" s="340">
        <f t="shared" si="200"/>
        <v>1728</v>
      </c>
      <c r="E141" s="341">
        <f t="shared" si="201"/>
        <v>3269</v>
      </c>
      <c r="F141" s="341">
        <f t="shared" si="202"/>
        <v>4645</v>
      </c>
      <c r="G141" s="253">
        <f t="shared" si="172"/>
        <v>100000</v>
      </c>
      <c r="H141" s="341">
        <f t="shared" si="203"/>
        <v>1728</v>
      </c>
      <c r="I141" s="254">
        <v>0.636</v>
      </c>
      <c r="J141" s="255">
        <v>0.611</v>
      </c>
      <c r="K141" s="256">
        <v>5848</v>
      </c>
      <c r="L141" s="252">
        <f t="shared" si="191"/>
        <v>2716.9811320754716</v>
      </c>
      <c r="M141" s="162">
        <f t="shared" si="173"/>
        <v>2828.150572831424</v>
      </c>
      <c r="N141" s="339">
        <f t="shared" si="174"/>
        <v>6745.050615595075</v>
      </c>
      <c r="O141" s="257">
        <f t="shared" si="192"/>
        <v>0.01728</v>
      </c>
      <c r="P141" s="258">
        <f t="shared" si="175"/>
        <v>0.013076</v>
      </c>
      <c r="Q141" s="258">
        <f t="shared" si="176"/>
        <v>0.00929</v>
      </c>
      <c r="R141" s="259">
        <f t="shared" si="177"/>
        <v>0.01728</v>
      </c>
      <c r="T141" s="299" t="s">
        <v>19</v>
      </c>
      <c r="U141" s="340">
        <f t="shared" si="178"/>
        <v>4000</v>
      </c>
      <c r="V141" s="341">
        <f t="shared" si="179"/>
        <v>7500</v>
      </c>
      <c r="W141" s="341">
        <f t="shared" si="180"/>
        <v>15000</v>
      </c>
      <c r="X141" s="341">
        <f t="shared" si="181"/>
        <v>6500</v>
      </c>
      <c r="Y141" s="252">
        <f t="shared" si="182"/>
        <v>10220.125786163522</v>
      </c>
      <c r="Z141" s="339">
        <f t="shared" si="183"/>
        <v>25372.00752393981</v>
      </c>
      <c r="AC141" s="299" t="s">
        <v>3</v>
      </c>
      <c r="AD141" s="340">
        <f t="shared" si="193"/>
        <v>4737.6</v>
      </c>
      <c r="AE141" s="341">
        <f t="shared" si="194"/>
        <v>11458.5</v>
      </c>
      <c r="AF141" s="341">
        <f t="shared" si="195"/>
        <v>22626.9</v>
      </c>
      <c r="AG141" s="341">
        <f t="shared" si="196"/>
        <v>6120.425175</v>
      </c>
      <c r="AH141" s="252">
        <f t="shared" si="197"/>
        <v>5879.370965417868</v>
      </c>
      <c r="AI141" s="162">
        <f t="shared" si="198"/>
        <v>5773.986014150943</v>
      </c>
      <c r="AJ141" s="339">
        <f t="shared" si="199"/>
        <v>4377.457872845125</v>
      </c>
      <c r="AM141" s="299" t="s">
        <v>19</v>
      </c>
      <c r="AN141" s="340">
        <f t="shared" si="184"/>
        <v>11196.8</v>
      </c>
      <c r="AO141" s="341">
        <f t="shared" si="185"/>
        <v>25237.8</v>
      </c>
      <c r="AP141" s="341">
        <f t="shared" si="186"/>
        <v>49113.8</v>
      </c>
      <c r="AQ141" s="341">
        <f t="shared" si="187"/>
        <v>13696.8</v>
      </c>
      <c r="AR141" s="252">
        <f t="shared" si="188"/>
        <v>21535.849056603773</v>
      </c>
      <c r="AS141" s="162">
        <f t="shared" si="189"/>
        <v>22417.021276595744</v>
      </c>
      <c r="AT141" s="339">
        <f t="shared" si="190"/>
        <v>53463.89425444596</v>
      </c>
    </row>
    <row r="142" spans="1:46" ht="12.75">
      <c r="A142" s="299" t="s">
        <v>4</v>
      </c>
      <c r="B142" s="300"/>
      <c r="C142" s="341" t="s">
        <v>47</v>
      </c>
      <c r="D142" s="340">
        <f t="shared" si="200"/>
        <v>1000</v>
      </c>
      <c r="E142" s="341">
        <f t="shared" si="201"/>
        <v>2000</v>
      </c>
      <c r="F142" s="341">
        <f t="shared" si="202"/>
        <v>4000</v>
      </c>
      <c r="G142" s="340">
        <f t="shared" si="172"/>
        <v>303310</v>
      </c>
      <c r="H142" s="341">
        <f t="shared" si="203"/>
        <v>2426.48</v>
      </c>
      <c r="I142" s="254">
        <v>1.234</v>
      </c>
      <c r="J142" s="255">
        <v>1.204</v>
      </c>
      <c r="K142" s="256">
        <v>32233</v>
      </c>
      <c r="L142" s="252">
        <f t="shared" si="191"/>
        <v>1966.3533225283632</v>
      </c>
      <c r="M142" s="162">
        <f t="shared" si="173"/>
        <v>2015.3488372093025</v>
      </c>
      <c r="N142" s="339">
        <f t="shared" si="174"/>
        <v>1718.4022262898272</v>
      </c>
      <c r="O142" s="257">
        <f t="shared" si="192"/>
        <v>0.01</v>
      </c>
      <c r="P142" s="258">
        <f t="shared" si="175"/>
        <v>0.008</v>
      </c>
      <c r="Q142" s="258">
        <f t="shared" si="176"/>
        <v>0.008</v>
      </c>
      <c r="R142" s="259">
        <f t="shared" si="177"/>
        <v>0.008</v>
      </c>
      <c r="T142" s="299" t="s">
        <v>4</v>
      </c>
      <c r="U142" s="340">
        <f t="shared" si="178"/>
        <v>2000</v>
      </c>
      <c r="V142" s="341">
        <f t="shared" si="179"/>
        <v>2000</v>
      </c>
      <c r="W142" s="341">
        <f t="shared" si="180"/>
        <v>6500</v>
      </c>
      <c r="X142" s="341">
        <f t="shared" si="181"/>
        <v>2959.58</v>
      </c>
      <c r="Y142" s="252">
        <f t="shared" si="182"/>
        <v>2398.3630470016205</v>
      </c>
      <c r="Z142" s="339">
        <f t="shared" si="183"/>
        <v>2095.9368553966433</v>
      </c>
      <c r="AC142" s="299" t="s">
        <v>15</v>
      </c>
      <c r="AD142" s="340">
        <f t="shared" si="193"/>
        <v>7690</v>
      </c>
      <c r="AE142" s="341">
        <f t="shared" si="194"/>
        <v>16990</v>
      </c>
      <c r="AF142" s="341">
        <f t="shared" si="195"/>
        <v>32490</v>
      </c>
      <c r="AG142" s="341">
        <f t="shared" si="196"/>
        <v>9550</v>
      </c>
      <c r="AH142" s="252">
        <f t="shared" si="197"/>
        <v>10876.993166287017</v>
      </c>
      <c r="AI142" s="162">
        <f t="shared" si="198"/>
        <v>11248.527679623086</v>
      </c>
      <c r="AJ142" s="339">
        <f t="shared" si="199"/>
        <v>12718.661026837806</v>
      </c>
      <c r="AM142" s="299" t="s">
        <v>4</v>
      </c>
      <c r="AN142" s="340">
        <f t="shared" si="184"/>
        <v>3875</v>
      </c>
      <c r="AO142" s="341">
        <f t="shared" si="185"/>
        <v>15015</v>
      </c>
      <c r="AP142" s="341">
        <f t="shared" si="186"/>
        <v>49225</v>
      </c>
      <c r="AQ142" s="341">
        <f t="shared" si="187"/>
        <v>22309.9404</v>
      </c>
      <c r="AR142" s="252">
        <f t="shared" si="188"/>
        <v>18079.36823338736</v>
      </c>
      <c r="AS142" s="162">
        <f t="shared" si="189"/>
        <v>18529.850830564785</v>
      </c>
      <c r="AT142" s="339">
        <f t="shared" si="190"/>
        <v>15799.615596153011</v>
      </c>
    </row>
    <row r="143" spans="1:46" ht="12.75">
      <c r="A143" s="299" t="s">
        <v>5</v>
      </c>
      <c r="B143" s="300"/>
      <c r="C143" s="341" t="s">
        <v>177</v>
      </c>
      <c r="D143" s="340">
        <f t="shared" si="200"/>
        <v>2319</v>
      </c>
      <c r="E143" s="341">
        <f t="shared" si="201"/>
        <v>3245</v>
      </c>
      <c r="F143" s="341">
        <f t="shared" si="202"/>
        <v>4745</v>
      </c>
      <c r="G143" s="340">
        <f t="shared" si="172"/>
        <v>129532</v>
      </c>
      <c r="H143" s="341">
        <f t="shared" si="203"/>
        <v>2501.31088</v>
      </c>
      <c r="I143" s="254">
        <v>1.026</v>
      </c>
      <c r="J143" s="255">
        <v>1.006</v>
      </c>
      <c r="K143" s="256">
        <v>19636</v>
      </c>
      <c r="L143" s="252">
        <f t="shared" si="191"/>
        <v>2437.924834307992</v>
      </c>
      <c r="M143" s="162">
        <f t="shared" si="173"/>
        <v>2486.3925248508945</v>
      </c>
      <c r="N143" s="339">
        <f t="shared" si="174"/>
        <v>2907.793005589733</v>
      </c>
      <c r="O143" s="257">
        <f t="shared" si="192"/>
        <v>0.02319</v>
      </c>
      <c r="P143" s="258">
        <f t="shared" si="175"/>
        <v>0.01298</v>
      </c>
      <c r="Q143" s="258">
        <f t="shared" si="176"/>
        <v>0.00949</v>
      </c>
      <c r="R143" s="259">
        <f t="shared" si="177"/>
        <v>0.019310370255998518</v>
      </c>
      <c r="T143" s="299" t="s">
        <v>5</v>
      </c>
      <c r="U143" s="340">
        <f t="shared" si="178"/>
        <v>6000</v>
      </c>
      <c r="V143" s="341">
        <f t="shared" si="179"/>
        <v>15000</v>
      </c>
      <c r="W143" s="341">
        <f t="shared" si="180"/>
        <v>30000</v>
      </c>
      <c r="X143" s="341">
        <f t="shared" si="181"/>
        <v>7771.92</v>
      </c>
      <c r="Y143" s="252">
        <f t="shared" si="182"/>
        <v>7574.970760233918</v>
      </c>
      <c r="Z143" s="339">
        <f t="shared" si="183"/>
        <v>9034.916369932776</v>
      </c>
      <c r="AC143" s="299" t="s">
        <v>19</v>
      </c>
      <c r="AD143" s="340">
        <f t="shared" si="193"/>
        <v>5728</v>
      </c>
      <c r="AE143" s="341">
        <f t="shared" si="194"/>
        <v>10769</v>
      </c>
      <c r="AF143" s="341">
        <f t="shared" si="195"/>
        <v>19645</v>
      </c>
      <c r="AG143" s="341">
        <f t="shared" si="196"/>
        <v>8228</v>
      </c>
      <c r="AH143" s="252">
        <f t="shared" si="197"/>
        <v>12937.106918238993</v>
      </c>
      <c r="AI143" s="162">
        <f t="shared" si="198"/>
        <v>13466.448445171849</v>
      </c>
      <c r="AJ143" s="339">
        <f t="shared" si="199"/>
        <v>32117.058139534885</v>
      </c>
      <c r="AM143" s="299" t="s">
        <v>5</v>
      </c>
      <c r="AN143" s="340">
        <f t="shared" si="184"/>
        <v>10473.897</v>
      </c>
      <c r="AO143" s="341">
        <f t="shared" si="185"/>
        <v>22649.896999999997</v>
      </c>
      <c r="AP143" s="341">
        <f t="shared" si="186"/>
        <v>42899.897</v>
      </c>
      <c r="AQ143" s="341">
        <f t="shared" si="187"/>
        <v>12871.020879999998</v>
      </c>
      <c r="AR143" s="252">
        <f t="shared" si="188"/>
        <v>12544.854658869393</v>
      </c>
      <c r="AS143" s="162">
        <f t="shared" si="189"/>
        <v>12794.255347912524</v>
      </c>
      <c r="AT143" s="339">
        <f t="shared" si="190"/>
        <v>14962.660095119165</v>
      </c>
    </row>
    <row r="144" spans="1:46" ht="12.75">
      <c r="A144" s="299" t="s">
        <v>6</v>
      </c>
      <c r="B144" s="300"/>
      <c r="C144" s="341" t="s">
        <v>178</v>
      </c>
      <c r="D144" s="340">
        <f t="shared" si="200"/>
        <v>1055.8</v>
      </c>
      <c r="E144" s="341">
        <f t="shared" si="201"/>
        <v>1152.9</v>
      </c>
      <c r="F144" s="341">
        <f t="shared" si="202"/>
        <v>1849.1</v>
      </c>
      <c r="G144" s="252">
        <f t="shared" si="172"/>
        <v>202000</v>
      </c>
      <c r="H144" s="341">
        <f t="shared" si="203"/>
        <v>1121.828</v>
      </c>
      <c r="I144" s="254">
        <v>1.052</v>
      </c>
      <c r="J144" s="255">
        <v>1.064</v>
      </c>
      <c r="K144" s="256">
        <v>29554</v>
      </c>
      <c r="L144" s="252">
        <f t="shared" si="191"/>
        <v>1066.3764258555132</v>
      </c>
      <c r="M144" s="162">
        <f t="shared" si="173"/>
        <v>1054.3496240601503</v>
      </c>
      <c r="N144" s="339">
        <f t="shared" si="174"/>
        <v>866.4806035054477</v>
      </c>
      <c r="O144" s="257">
        <f t="shared" si="192"/>
        <v>0.010558</v>
      </c>
      <c r="P144" s="258">
        <f t="shared" si="175"/>
        <v>0.0046116</v>
      </c>
      <c r="Q144" s="258">
        <f t="shared" si="176"/>
        <v>0.0036982</v>
      </c>
      <c r="R144" s="259">
        <f t="shared" si="177"/>
        <v>0.0055536039603960394</v>
      </c>
      <c r="T144" s="299" t="s">
        <v>6</v>
      </c>
      <c r="U144" s="340">
        <f t="shared" si="178"/>
        <v>1850</v>
      </c>
      <c r="V144" s="341">
        <f t="shared" si="179"/>
        <v>4625</v>
      </c>
      <c r="W144" s="341">
        <f t="shared" si="180"/>
        <v>9250</v>
      </c>
      <c r="X144" s="341">
        <f t="shared" si="181"/>
        <v>3737</v>
      </c>
      <c r="Y144" s="252">
        <f t="shared" si="182"/>
        <v>3552.2813688212927</v>
      </c>
      <c r="Z144" s="339">
        <f t="shared" si="183"/>
        <v>2886.3943628612033</v>
      </c>
      <c r="AC144" s="299" t="s">
        <v>4</v>
      </c>
      <c r="AD144" s="340">
        <f t="shared" si="193"/>
        <v>3500</v>
      </c>
      <c r="AE144" s="341">
        <f t="shared" si="194"/>
        <v>4640</v>
      </c>
      <c r="AF144" s="341">
        <f t="shared" si="195"/>
        <v>11100</v>
      </c>
      <c r="AG144" s="341">
        <f t="shared" si="196"/>
        <v>6017.5304</v>
      </c>
      <c r="AH144" s="252">
        <f t="shared" si="197"/>
        <v>4876.442787682334</v>
      </c>
      <c r="AI144" s="162">
        <f t="shared" si="198"/>
        <v>4997.948837209302</v>
      </c>
      <c r="AJ144" s="339">
        <f t="shared" si="199"/>
        <v>4261.53837498216</v>
      </c>
      <c r="AM144" s="299" t="s">
        <v>6</v>
      </c>
      <c r="AN144" s="340">
        <f t="shared" si="184"/>
        <v>9069.9</v>
      </c>
      <c r="AO144" s="341">
        <f t="shared" si="185"/>
        <v>20942</v>
      </c>
      <c r="AP144" s="341">
        <f t="shared" si="186"/>
        <v>41263.2</v>
      </c>
      <c r="AQ144" s="341">
        <f t="shared" si="187"/>
        <v>17142.928</v>
      </c>
      <c r="AR144" s="252">
        <f t="shared" si="188"/>
        <v>16295.558935361216</v>
      </c>
      <c r="AS144" s="162">
        <f t="shared" si="189"/>
        <v>16111.774436090225</v>
      </c>
      <c r="AT144" s="339">
        <f t="shared" si="190"/>
        <v>13240.901991473234</v>
      </c>
    </row>
    <row r="145" spans="1:46" ht="12.75">
      <c r="A145" s="299" t="s">
        <v>7</v>
      </c>
      <c r="B145" s="300"/>
      <c r="C145" s="341" t="s">
        <v>177</v>
      </c>
      <c r="D145" s="340">
        <f t="shared" si="200"/>
        <v>677</v>
      </c>
      <c r="E145" s="341">
        <f t="shared" si="201"/>
        <v>1430</v>
      </c>
      <c r="F145" s="341">
        <f t="shared" si="202"/>
        <v>2050</v>
      </c>
      <c r="G145" s="253">
        <f t="shared" si="172"/>
        <v>100000</v>
      </c>
      <c r="H145" s="341">
        <f t="shared" si="203"/>
        <v>677</v>
      </c>
      <c r="I145" s="254">
        <v>0.596</v>
      </c>
      <c r="J145" s="255">
        <v>0.546</v>
      </c>
      <c r="K145" s="256">
        <v>5200</v>
      </c>
      <c r="L145" s="252">
        <f t="shared" si="191"/>
        <v>1135.9060402684565</v>
      </c>
      <c r="M145" s="162">
        <f t="shared" si="173"/>
        <v>1239.9267399267399</v>
      </c>
      <c r="N145" s="339">
        <f t="shared" si="174"/>
        <v>2971.8998076923076</v>
      </c>
      <c r="O145" s="257">
        <f t="shared" si="192"/>
        <v>0.00677</v>
      </c>
      <c r="P145" s="258">
        <f t="shared" si="175"/>
        <v>0.00572</v>
      </c>
      <c r="Q145" s="258">
        <f t="shared" si="176"/>
        <v>0.0041</v>
      </c>
      <c r="R145" s="259">
        <f t="shared" si="177"/>
        <v>0.00677</v>
      </c>
      <c r="T145" s="299" t="s">
        <v>7</v>
      </c>
      <c r="U145" s="340">
        <f t="shared" si="178"/>
        <v>2000</v>
      </c>
      <c r="V145" s="341">
        <f t="shared" si="179"/>
        <v>3750</v>
      </c>
      <c r="W145" s="341">
        <f t="shared" si="180"/>
        <v>6250</v>
      </c>
      <c r="X145" s="341">
        <f t="shared" si="181"/>
        <v>2000</v>
      </c>
      <c r="Y145" s="252">
        <f t="shared" si="182"/>
        <v>3355.7046979865772</v>
      </c>
      <c r="Z145" s="339">
        <f t="shared" si="183"/>
        <v>8779.615384615385</v>
      </c>
      <c r="AC145" s="299" t="s">
        <v>5</v>
      </c>
      <c r="AD145" s="340">
        <f t="shared" si="193"/>
        <v>8319</v>
      </c>
      <c r="AE145" s="341">
        <f t="shared" si="194"/>
        <v>18245</v>
      </c>
      <c r="AF145" s="341">
        <f t="shared" si="195"/>
        <v>34745</v>
      </c>
      <c r="AG145" s="341">
        <f t="shared" si="196"/>
        <v>10273.23088</v>
      </c>
      <c r="AH145" s="252">
        <f t="shared" si="197"/>
        <v>10012.89559454191</v>
      </c>
      <c r="AI145" s="162">
        <f t="shared" si="198"/>
        <v>10211.959125248508</v>
      </c>
      <c r="AJ145" s="339">
        <f t="shared" si="199"/>
        <v>11942.709375522509</v>
      </c>
      <c r="AM145" s="299" t="s">
        <v>7</v>
      </c>
      <c r="AN145" s="340">
        <f t="shared" si="184"/>
        <v>14319.5</v>
      </c>
      <c r="AO145" s="341">
        <f t="shared" si="185"/>
        <v>33948.4</v>
      </c>
      <c r="AP145" s="341">
        <f t="shared" si="186"/>
        <v>65612.5</v>
      </c>
      <c r="AQ145" s="341">
        <f t="shared" si="187"/>
        <v>14919.5</v>
      </c>
      <c r="AR145" s="252">
        <f t="shared" si="188"/>
        <v>25032.71812080537</v>
      </c>
      <c r="AS145" s="162">
        <f t="shared" si="189"/>
        <v>27325.091575091574</v>
      </c>
      <c r="AT145" s="339">
        <f t="shared" si="190"/>
        <v>65493.73586538462</v>
      </c>
    </row>
    <row r="146" spans="1:46" ht="12.75">
      <c r="A146" s="299" t="s">
        <v>189</v>
      </c>
      <c r="B146" s="300"/>
      <c r="C146" s="341" t="s">
        <v>177</v>
      </c>
      <c r="D146" s="340">
        <f t="shared" si="200"/>
        <v>510.4</v>
      </c>
      <c r="E146" s="341">
        <f t="shared" si="201"/>
        <v>616.0350000000001</v>
      </c>
      <c r="F146" s="341">
        <f t="shared" si="202"/>
        <v>616.0350000000001</v>
      </c>
      <c r="G146" s="253">
        <f t="shared" si="172"/>
        <v>100000</v>
      </c>
      <c r="H146" s="341">
        <f t="shared" si="203"/>
        <v>510.4</v>
      </c>
      <c r="I146" s="254">
        <v>0.852</v>
      </c>
      <c r="J146" s="255">
        <v>0.713</v>
      </c>
      <c r="K146" s="256">
        <v>12086</v>
      </c>
      <c r="L146" s="252">
        <f>H146/I146</f>
        <v>599.0610328638497</v>
      </c>
      <c r="M146" s="162">
        <f>H146/J146</f>
        <v>715.8485273492286</v>
      </c>
      <c r="N146" s="339">
        <f>H146*22827/K146</f>
        <v>963.9997352308455</v>
      </c>
      <c r="O146" s="257">
        <f>D146/100000</f>
        <v>0.005104</v>
      </c>
      <c r="P146" s="258">
        <f>E146/250000</f>
        <v>0.0024641400000000005</v>
      </c>
      <c r="Q146" s="258">
        <f>F146/500000</f>
        <v>0.0012320700000000003</v>
      </c>
      <c r="R146" s="259">
        <f>H146/G146</f>
        <v>0.005104</v>
      </c>
      <c r="T146" s="299" t="s">
        <v>189</v>
      </c>
      <c r="U146" s="340">
        <f t="shared" si="178"/>
        <v>3750</v>
      </c>
      <c r="V146" s="341">
        <f t="shared" si="179"/>
        <v>9375</v>
      </c>
      <c r="W146" s="341">
        <f t="shared" si="180"/>
        <v>18750</v>
      </c>
      <c r="X146" s="341">
        <f t="shared" si="181"/>
        <v>3750</v>
      </c>
      <c r="Y146" s="252">
        <f>X146/I146</f>
        <v>4401.408450704225</v>
      </c>
      <c r="Z146" s="339">
        <f>X146*22827/K146</f>
        <v>7082.678305477412</v>
      </c>
      <c r="AC146" s="299" t="s">
        <v>6</v>
      </c>
      <c r="AD146" s="340">
        <f t="shared" si="193"/>
        <v>2905.8</v>
      </c>
      <c r="AE146" s="341">
        <f t="shared" si="194"/>
        <v>5777.9</v>
      </c>
      <c r="AF146" s="341">
        <f t="shared" si="195"/>
        <v>11099.1</v>
      </c>
      <c r="AG146" s="341">
        <f t="shared" si="196"/>
        <v>4858.8279999999995</v>
      </c>
      <c r="AH146" s="252">
        <f t="shared" si="197"/>
        <v>4618.657794676806</v>
      </c>
      <c r="AI146" s="162">
        <f t="shared" si="198"/>
        <v>4566.567669172931</v>
      </c>
      <c r="AJ146" s="339">
        <f t="shared" si="199"/>
        <v>3752.8749663666504</v>
      </c>
      <c r="AM146" s="299" t="s">
        <v>189</v>
      </c>
      <c r="AN146" s="340">
        <f t="shared" si="184"/>
        <v>5892.4</v>
      </c>
      <c r="AO146" s="341">
        <f t="shared" si="185"/>
        <v>13453.035</v>
      </c>
      <c r="AP146" s="341">
        <f t="shared" si="186"/>
        <v>25878.035</v>
      </c>
      <c r="AQ146" s="341">
        <f t="shared" si="187"/>
        <v>5892.4</v>
      </c>
      <c r="AR146" s="252">
        <f t="shared" si="188"/>
        <v>6915.962441314554</v>
      </c>
      <c r="AS146" s="162">
        <f t="shared" si="189"/>
        <v>8264.235624123423</v>
      </c>
      <c r="AT146" s="339">
        <f t="shared" si="190"/>
        <v>11129.059639252026</v>
      </c>
    </row>
    <row r="147" spans="1:46" ht="12.75">
      <c r="A147" s="315" t="s">
        <v>8</v>
      </c>
      <c r="B147" s="331"/>
      <c r="C147" s="341" t="s">
        <v>47</v>
      </c>
      <c r="D147" s="340">
        <f t="shared" si="200"/>
        <v>1437.9</v>
      </c>
      <c r="E147" s="341">
        <f t="shared" si="201"/>
        <v>1735.3</v>
      </c>
      <c r="F147" s="341">
        <f t="shared" si="202"/>
        <v>2327.6</v>
      </c>
      <c r="G147" s="340">
        <f t="shared" si="172"/>
        <v>193860</v>
      </c>
      <c r="H147" s="341">
        <f t="shared" si="203"/>
        <v>1623.9930933333335</v>
      </c>
      <c r="I147" s="254">
        <v>1.049</v>
      </c>
      <c r="J147" s="255">
        <v>1.088</v>
      </c>
      <c r="K147" s="256">
        <v>33688</v>
      </c>
      <c r="L147" s="252">
        <f t="shared" si="191"/>
        <v>1548.1345027009854</v>
      </c>
      <c r="M147" s="162">
        <f t="shared" si="173"/>
        <v>1492.6407107843138</v>
      </c>
      <c r="N147" s="339">
        <f t="shared" si="174"/>
        <v>1100.4182599596297</v>
      </c>
      <c r="O147" s="257">
        <f t="shared" si="192"/>
        <v>0.014379000000000001</v>
      </c>
      <c r="P147" s="258">
        <f t="shared" si="175"/>
        <v>0.0069412</v>
      </c>
      <c r="Q147" s="258">
        <f t="shared" si="176"/>
        <v>0.0046552</v>
      </c>
      <c r="R147" s="259">
        <f t="shared" si="177"/>
        <v>0.008377143780735239</v>
      </c>
      <c r="T147" s="315" t="s">
        <v>8</v>
      </c>
      <c r="U147" s="340">
        <f t="shared" si="178"/>
        <v>1000</v>
      </c>
      <c r="V147" s="341">
        <f t="shared" si="179"/>
        <v>2500</v>
      </c>
      <c r="W147" s="341">
        <f t="shared" si="180"/>
        <v>5000</v>
      </c>
      <c r="X147" s="341">
        <f t="shared" si="181"/>
        <v>1938.6000000000001</v>
      </c>
      <c r="Y147" s="252">
        <f t="shared" si="182"/>
        <v>1848.0457578646333</v>
      </c>
      <c r="Z147" s="339">
        <f t="shared" si="183"/>
        <v>1313.5960045119925</v>
      </c>
      <c r="AC147" s="299" t="s">
        <v>7</v>
      </c>
      <c r="AD147" s="340">
        <f t="shared" si="193"/>
        <v>2852</v>
      </c>
      <c r="AE147" s="341">
        <f t="shared" si="194"/>
        <v>5355</v>
      </c>
      <c r="AF147" s="341">
        <f t="shared" si="195"/>
        <v>8475</v>
      </c>
      <c r="AG147" s="341">
        <f t="shared" si="196"/>
        <v>2852</v>
      </c>
      <c r="AH147" s="252">
        <f t="shared" si="197"/>
        <v>4785.23489932886</v>
      </c>
      <c r="AI147" s="162">
        <f t="shared" si="198"/>
        <v>5223.443223443223</v>
      </c>
      <c r="AJ147" s="339">
        <f t="shared" si="199"/>
        <v>12519.731538461538</v>
      </c>
      <c r="AM147" s="315" t="s">
        <v>8</v>
      </c>
      <c r="AN147" s="340">
        <f t="shared" si="184"/>
        <v>3067</v>
      </c>
      <c r="AO147" s="341">
        <f t="shared" si="185"/>
        <v>7918.400000000001</v>
      </c>
      <c r="AP147" s="341">
        <f t="shared" si="186"/>
        <v>23943</v>
      </c>
      <c r="AQ147" s="341">
        <f t="shared" si="187"/>
        <v>6473.194960000001</v>
      </c>
      <c r="AR147" s="252">
        <f t="shared" si="188"/>
        <v>6170.824556720688</v>
      </c>
      <c r="AS147" s="162">
        <f t="shared" si="189"/>
        <v>5949.627720588235</v>
      </c>
      <c r="AT147" s="339">
        <f t="shared" si="190"/>
        <v>4386.239056991214</v>
      </c>
    </row>
    <row r="148" spans="1:46" ht="12.75">
      <c r="A148" s="315" t="s">
        <v>188</v>
      </c>
      <c r="B148" s="331"/>
      <c r="C148" s="341" t="s">
        <v>47</v>
      </c>
      <c r="D148" s="340">
        <f t="shared" si="200"/>
        <v>420</v>
      </c>
      <c r="E148" s="341">
        <f t="shared" si="201"/>
        <v>420</v>
      </c>
      <c r="F148" s="341">
        <f t="shared" si="202"/>
        <v>420</v>
      </c>
      <c r="G148" s="340">
        <f t="shared" si="172"/>
        <v>100000</v>
      </c>
      <c r="H148" s="341">
        <f t="shared" si="203"/>
        <v>420</v>
      </c>
      <c r="I148" s="254">
        <v>0.576</v>
      </c>
      <c r="J148" s="255">
        <v>0.55</v>
      </c>
      <c r="K148" s="256">
        <v>5445</v>
      </c>
      <c r="L148" s="252">
        <f>H148/I148</f>
        <v>729.1666666666667</v>
      </c>
      <c r="M148" s="162">
        <f>H148/J148</f>
        <v>763.6363636363636</v>
      </c>
      <c r="N148" s="339">
        <f>H148*22827/K148</f>
        <v>1760.7603305785124</v>
      </c>
      <c r="O148" s="257">
        <f>D148/100000</f>
        <v>0.0042</v>
      </c>
      <c r="P148" s="258">
        <f>E148/250000</f>
        <v>0.00168</v>
      </c>
      <c r="Q148" s="258">
        <f>F148/500000</f>
        <v>0.00084</v>
      </c>
      <c r="R148" s="259">
        <f>H148/G148</f>
        <v>0.0042</v>
      </c>
      <c r="T148" s="315" t="s">
        <v>188</v>
      </c>
      <c r="U148" s="340">
        <f t="shared" si="178"/>
        <v>2150</v>
      </c>
      <c r="V148" s="341">
        <f t="shared" si="179"/>
        <v>2150</v>
      </c>
      <c r="W148" s="341">
        <f t="shared" si="180"/>
        <v>2150</v>
      </c>
      <c r="X148" s="341">
        <f t="shared" si="181"/>
        <v>2150</v>
      </c>
      <c r="Y148" s="252">
        <f t="shared" si="182"/>
        <v>3732.638888888889</v>
      </c>
      <c r="Z148" s="339">
        <f t="shared" si="183"/>
        <v>9013.415977961433</v>
      </c>
      <c r="AC148" s="299" t="s">
        <v>189</v>
      </c>
      <c r="AD148" s="340">
        <f t="shared" si="193"/>
        <v>4452.9</v>
      </c>
      <c r="AE148" s="341">
        <f t="shared" si="194"/>
        <v>10183.535</v>
      </c>
      <c r="AF148" s="341">
        <f t="shared" si="195"/>
        <v>19558.535</v>
      </c>
      <c r="AG148" s="341">
        <f t="shared" si="196"/>
        <v>4452.9</v>
      </c>
      <c r="AH148" s="252">
        <f t="shared" si="197"/>
        <v>5226.408450704225</v>
      </c>
      <c r="AI148" s="162">
        <f t="shared" si="198"/>
        <v>6245.301542776999</v>
      </c>
      <c r="AJ148" s="339">
        <f t="shared" si="199"/>
        <v>8410.255527056097</v>
      </c>
      <c r="AM148" s="315" t="s">
        <v>188</v>
      </c>
      <c r="AN148" s="340">
        <f t="shared" si="184"/>
        <v>2760</v>
      </c>
      <c r="AO148" s="341">
        <f t="shared" si="185"/>
        <v>2860</v>
      </c>
      <c r="AP148" s="341">
        <f t="shared" si="186"/>
        <v>2930</v>
      </c>
      <c r="AQ148" s="341">
        <f t="shared" si="187"/>
        <v>3650</v>
      </c>
      <c r="AR148" s="252">
        <f t="shared" si="188"/>
        <v>6336.805555555556</v>
      </c>
      <c r="AS148" s="162">
        <f t="shared" si="189"/>
        <v>6636.363636363636</v>
      </c>
      <c r="AT148" s="339">
        <f t="shared" si="190"/>
        <v>15301.845730027548</v>
      </c>
    </row>
    <row r="149" spans="1:46" ht="12.75">
      <c r="A149" s="299" t="s">
        <v>16</v>
      </c>
      <c r="B149" s="300"/>
      <c r="C149" s="341" t="s">
        <v>177</v>
      </c>
      <c r="D149" s="340">
        <f t="shared" si="200"/>
        <v>810</v>
      </c>
      <c r="E149" s="341">
        <f t="shared" si="201"/>
        <v>1203.75</v>
      </c>
      <c r="F149" s="341">
        <f t="shared" si="202"/>
        <v>1377</v>
      </c>
      <c r="G149" s="253">
        <f t="shared" si="172"/>
        <v>100000</v>
      </c>
      <c r="H149" s="341">
        <f t="shared" si="203"/>
        <v>810</v>
      </c>
      <c r="I149" s="254">
        <v>0.764</v>
      </c>
      <c r="J149" s="255">
        <v>0.731</v>
      </c>
      <c r="K149" s="256">
        <v>8901</v>
      </c>
      <c r="L149" s="252">
        <f t="shared" si="191"/>
        <v>1060.2094240837696</v>
      </c>
      <c r="M149" s="162">
        <f t="shared" si="173"/>
        <v>1108.0711354309167</v>
      </c>
      <c r="N149" s="339">
        <f t="shared" si="174"/>
        <v>2077.2800808897878</v>
      </c>
      <c r="O149" s="257">
        <f t="shared" si="192"/>
        <v>0.0081</v>
      </c>
      <c r="P149" s="258">
        <f t="shared" si="175"/>
        <v>0.004815</v>
      </c>
      <c r="Q149" s="258">
        <f t="shared" si="176"/>
        <v>0.002754</v>
      </c>
      <c r="R149" s="259">
        <f t="shared" si="177"/>
        <v>0.0081</v>
      </c>
      <c r="T149" s="299" t="s">
        <v>16</v>
      </c>
      <c r="U149" s="340">
        <f t="shared" si="178"/>
        <v>4000</v>
      </c>
      <c r="V149" s="341">
        <f t="shared" si="179"/>
        <v>10000</v>
      </c>
      <c r="W149" s="341">
        <f t="shared" si="180"/>
        <v>20000</v>
      </c>
      <c r="X149" s="341">
        <f t="shared" si="181"/>
        <v>4000</v>
      </c>
      <c r="Y149" s="252">
        <f t="shared" si="182"/>
        <v>5235.602094240838</v>
      </c>
      <c r="Z149" s="339">
        <f t="shared" si="183"/>
        <v>10258.173238961914</v>
      </c>
      <c r="AC149" s="315" t="s">
        <v>8</v>
      </c>
      <c r="AD149" s="340">
        <f t="shared" si="193"/>
        <v>2815.9</v>
      </c>
      <c r="AE149" s="341">
        <f t="shared" si="194"/>
        <v>4835.3</v>
      </c>
      <c r="AF149" s="341">
        <f t="shared" si="195"/>
        <v>8068.6</v>
      </c>
      <c r="AG149" s="341">
        <f t="shared" si="196"/>
        <v>4079.505893333334</v>
      </c>
      <c r="AH149" s="252">
        <f t="shared" si="197"/>
        <v>3888.9474674292987</v>
      </c>
      <c r="AI149" s="162">
        <f t="shared" si="198"/>
        <v>3749.5458578431376</v>
      </c>
      <c r="AJ149" s="339">
        <f t="shared" si="199"/>
        <v>2764.2745496057946</v>
      </c>
      <c r="AM149" s="299" t="s">
        <v>16</v>
      </c>
      <c r="AN149" s="340">
        <f t="shared" si="184"/>
        <v>6933</v>
      </c>
      <c r="AO149" s="341">
        <f t="shared" si="185"/>
        <v>16326.75</v>
      </c>
      <c r="AP149" s="341">
        <f t="shared" si="186"/>
        <v>31500</v>
      </c>
      <c r="AQ149" s="341">
        <f t="shared" si="187"/>
        <v>6933</v>
      </c>
      <c r="AR149" s="252">
        <f t="shared" si="188"/>
        <v>9074.607329842931</v>
      </c>
      <c r="AS149" s="162">
        <f t="shared" si="189"/>
        <v>9484.268125854993</v>
      </c>
      <c r="AT149" s="339">
        <f t="shared" si="190"/>
        <v>17779.978766430737</v>
      </c>
    </row>
    <row r="150" spans="1:46" ht="12.75">
      <c r="A150" s="299" t="s">
        <v>9</v>
      </c>
      <c r="B150" s="300"/>
      <c r="C150" s="341" t="s">
        <v>177</v>
      </c>
      <c r="D150" s="340">
        <f t="shared" si="200"/>
        <v>891.3</v>
      </c>
      <c r="E150" s="341">
        <f t="shared" si="201"/>
        <v>1194.3</v>
      </c>
      <c r="F150" s="341">
        <f t="shared" si="202"/>
        <v>1364.3</v>
      </c>
      <c r="G150" s="340">
        <f t="shared" si="172"/>
        <v>172630</v>
      </c>
      <c r="H150" s="341">
        <f t="shared" si="203"/>
        <v>1038.0126</v>
      </c>
      <c r="I150" s="254">
        <v>0.9</v>
      </c>
      <c r="J150" s="255">
        <v>0.902</v>
      </c>
      <c r="K150" s="256">
        <v>18004</v>
      </c>
      <c r="L150" s="252">
        <f t="shared" si="191"/>
        <v>1153.3473333333334</v>
      </c>
      <c r="M150" s="162">
        <f t="shared" si="173"/>
        <v>1150.790022172949</v>
      </c>
      <c r="N150" s="339">
        <f t="shared" si="174"/>
        <v>1316.080516562986</v>
      </c>
      <c r="O150" s="257">
        <f t="shared" si="192"/>
        <v>0.008912999999999999</v>
      </c>
      <c r="P150" s="258">
        <f t="shared" si="175"/>
        <v>0.0047772</v>
      </c>
      <c r="Q150" s="258">
        <f t="shared" si="176"/>
        <v>0.0027286</v>
      </c>
      <c r="R150" s="259">
        <f t="shared" si="177"/>
        <v>0.006012932862190813</v>
      </c>
      <c r="T150" s="299" t="s">
        <v>9</v>
      </c>
      <c r="U150" s="340">
        <f t="shared" si="178"/>
        <v>6000</v>
      </c>
      <c r="V150" s="341">
        <f t="shared" si="179"/>
        <v>15000</v>
      </c>
      <c r="W150" s="341">
        <f t="shared" si="180"/>
        <v>30000</v>
      </c>
      <c r="X150" s="341">
        <f t="shared" si="181"/>
        <v>10357.8</v>
      </c>
      <c r="Y150" s="252">
        <f t="shared" si="182"/>
        <v>11508.666666666666</v>
      </c>
      <c r="Z150" s="339">
        <f t="shared" si="183"/>
        <v>13132.498367029548</v>
      </c>
      <c r="AC150" s="315" t="s">
        <v>188</v>
      </c>
      <c r="AD150" s="340">
        <f t="shared" si="193"/>
        <v>2700</v>
      </c>
      <c r="AE150" s="341">
        <f t="shared" si="194"/>
        <v>2800</v>
      </c>
      <c r="AF150" s="341">
        <f t="shared" si="195"/>
        <v>2870</v>
      </c>
      <c r="AG150" s="341">
        <f t="shared" si="196"/>
        <v>3590</v>
      </c>
      <c r="AH150" s="252">
        <f t="shared" si="197"/>
        <v>6232.63888888889</v>
      </c>
      <c r="AI150" s="162">
        <f t="shared" si="198"/>
        <v>6527.272727272727</v>
      </c>
      <c r="AJ150" s="339">
        <f t="shared" si="199"/>
        <v>15050.308539944903</v>
      </c>
      <c r="AM150" s="299" t="s">
        <v>9</v>
      </c>
      <c r="AN150" s="340">
        <f t="shared" si="184"/>
        <v>15414</v>
      </c>
      <c r="AO150" s="341">
        <f t="shared" si="185"/>
        <v>37112.100000000006</v>
      </c>
      <c r="AP150" s="341">
        <f t="shared" si="186"/>
        <v>72917.6</v>
      </c>
      <c r="AQ150" s="341">
        <f t="shared" si="187"/>
        <v>25920.22002</v>
      </c>
      <c r="AR150" s="252">
        <f t="shared" si="188"/>
        <v>28800.244466666667</v>
      </c>
      <c r="AS150" s="162">
        <f t="shared" si="189"/>
        <v>28736.385831485586</v>
      </c>
      <c r="AT150" s="339">
        <f t="shared" si="190"/>
        <v>32863.85594293157</v>
      </c>
    </row>
    <row r="151" spans="1:46" ht="12.75">
      <c r="A151" s="299" t="s">
        <v>10</v>
      </c>
      <c r="B151" s="300"/>
      <c r="C151" s="341" t="s">
        <v>179</v>
      </c>
      <c r="D151" s="340">
        <v>500</v>
      </c>
      <c r="E151" s="341">
        <v>500</v>
      </c>
      <c r="F151" s="341">
        <v>500</v>
      </c>
      <c r="G151" s="340">
        <f t="shared" si="172"/>
        <v>147500</v>
      </c>
      <c r="H151" s="341">
        <f>D151</f>
        <v>500</v>
      </c>
      <c r="I151" s="254">
        <v>1.206</v>
      </c>
      <c r="J151" s="255">
        <v>1.187</v>
      </c>
      <c r="K151" s="256">
        <v>25479</v>
      </c>
      <c r="L151" s="252">
        <f t="shared" si="191"/>
        <v>414.5936981757877</v>
      </c>
      <c r="M151" s="162">
        <f t="shared" si="173"/>
        <v>421.22999157540016</v>
      </c>
      <c r="N151" s="339">
        <f t="shared" si="174"/>
        <v>447.9571411750854</v>
      </c>
      <c r="O151" s="257">
        <f t="shared" si="192"/>
        <v>0.005</v>
      </c>
      <c r="P151" s="258">
        <f t="shared" si="175"/>
        <v>0.002</v>
      </c>
      <c r="Q151" s="258">
        <f t="shared" si="176"/>
        <v>0.001</v>
      </c>
      <c r="R151" s="259">
        <f t="shared" si="177"/>
        <v>0.003389830508474576</v>
      </c>
      <c r="T151" s="299" t="s">
        <v>10</v>
      </c>
      <c r="U151" s="340">
        <f t="shared" si="178"/>
        <v>3600</v>
      </c>
      <c r="V151" s="341">
        <f t="shared" si="179"/>
        <v>7800</v>
      </c>
      <c r="W151" s="341">
        <f t="shared" si="180"/>
        <v>12800</v>
      </c>
      <c r="X151" s="341">
        <f t="shared" si="181"/>
        <v>4930</v>
      </c>
      <c r="Y151" s="252">
        <f t="shared" si="182"/>
        <v>4087.893864013267</v>
      </c>
      <c r="Z151" s="339">
        <f t="shared" si="183"/>
        <v>4416.8574119863415</v>
      </c>
      <c r="AC151" s="299" t="s">
        <v>16</v>
      </c>
      <c r="AD151" s="340">
        <f t="shared" si="193"/>
        <v>4810</v>
      </c>
      <c r="AE151" s="341">
        <f t="shared" si="194"/>
        <v>11203.75</v>
      </c>
      <c r="AF151" s="341">
        <f t="shared" si="195"/>
        <v>21377</v>
      </c>
      <c r="AG151" s="341">
        <f t="shared" si="196"/>
        <v>4810</v>
      </c>
      <c r="AH151" s="252">
        <f t="shared" si="197"/>
        <v>6295.811518324607</v>
      </c>
      <c r="AI151" s="162">
        <f t="shared" si="198"/>
        <v>6580.027359781122</v>
      </c>
      <c r="AJ151" s="339">
        <f t="shared" si="199"/>
        <v>12335.453319851702</v>
      </c>
      <c r="AM151" s="299" t="s">
        <v>10</v>
      </c>
      <c r="AN151" s="340">
        <f t="shared" si="184"/>
        <v>7018</v>
      </c>
      <c r="AO151" s="341">
        <f t="shared" si="185"/>
        <v>15568</v>
      </c>
      <c r="AP151" s="341">
        <f t="shared" si="186"/>
        <v>27818</v>
      </c>
      <c r="AQ151" s="341">
        <f t="shared" si="187"/>
        <v>9725.5</v>
      </c>
      <c r="AR151" s="252">
        <f t="shared" si="188"/>
        <v>8064.262023217248</v>
      </c>
      <c r="AS151" s="162">
        <f t="shared" si="189"/>
        <v>8193.344566133108</v>
      </c>
      <c r="AT151" s="339">
        <f t="shared" si="190"/>
        <v>8713.214352996585</v>
      </c>
    </row>
    <row r="152" spans="1:46" ht="15.75">
      <c r="A152" s="214" t="s">
        <v>27</v>
      </c>
      <c r="B152" s="260"/>
      <c r="C152" s="261"/>
      <c r="D152" s="262">
        <f>SUM(D132:D151)/D153</f>
        <v>1221.97295</v>
      </c>
      <c r="E152" s="261">
        <f>SUM(E132:E151)/D153</f>
        <v>1864.1256500000004</v>
      </c>
      <c r="F152" s="261">
        <f>SUM(F132:F151)/D153</f>
        <v>2760.0237500000003</v>
      </c>
      <c r="G152" s="261">
        <f>SUM(G132:G151)/D153</f>
        <v>159828.6456677061</v>
      </c>
      <c r="H152" s="261">
        <f>SUM(H132:H151)/D153</f>
        <v>1477.5984701612492</v>
      </c>
      <c r="I152" s="342"/>
      <c r="J152" s="343"/>
      <c r="K152" s="263">
        <f>SUM(K132:K151)/D153</f>
        <v>21187.3</v>
      </c>
      <c r="L152" s="262">
        <f>SUM(L132:L151)/D153</f>
        <v>1557.6250416897403</v>
      </c>
      <c r="M152" s="261">
        <f>SUM(M132:M151)/D153</f>
        <v>1575.5131105268597</v>
      </c>
      <c r="N152" s="261">
        <f>SUM(N132:N151)/D153</f>
        <v>1996.8614224163018</v>
      </c>
      <c r="O152" s="219">
        <f>SUM(O132:O151)/D153</f>
        <v>0.0122197295</v>
      </c>
      <c r="P152" s="218">
        <f>SUM(P132:P151)/D153</f>
        <v>0.007456502600000002</v>
      </c>
      <c r="Q152" s="218">
        <f>SUM(Q132:Q151)/D153</f>
        <v>0.005520047500000001</v>
      </c>
      <c r="R152" s="220">
        <f>SUM(R132:R151)/D153</f>
        <v>0.009664811993578177</v>
      </c>
      <c r="T152" s="214" t="s">
        <v>27</v>
      </c>
      <c r="U152" s="262">
        <f>SUM(U132:U151)/U153</f>
        <v>3763.65</v>
      </c>
      <c r="V152" s="261">
        <f>SUM(V132:V151)/U153</f>
        <v>8441.925</v>
      </c>
      <c r="W152" s="261">
        <f>SUM(W132:W151)/U153</f>
        <v>16103.65</v>
      </c>
      <c r="X152" s="261">
        <f>SUM(X132:X151)/U153</f>
        <v>5536.404575621385</v>
      </c>
      <c r="Y152" s="262">
        <f>SUM(Y132:Y151)/U153</f>
        <v>5912.099261686126</v>
      </c>
      <c r="Z152" s="264">
        <f>SUM(Z132:Z151)/U153</f>
        <v>7857.600841092569</v>
      </c>
      <c r="AC152" s="299" t="s">
        <v>9</v>
      </c>
      <c r="AD152" s="340">
        <f t="shared" si="193"/>
        <v>6982.3</v>
      </c>
      <c r="AE152" s="341">
        <f t="shared" si="194"/>
        <v>16335.699999999999</v>
      </c>
      <c r="AF152" s="341">
        <f t="shared" si="195"/>
        <v>31583.399999999998</v>
      </c>
      <c r="AG152" s="341">
        <f t="shared" si="196"/>
        <v>11511.216279999999</v>
      </c>
      <c r="AH152" s="252">
        <f t="shared" si="197"/>
        <v>12790.240311111109</v>
      </c>
      <c r="AI152" s="162">
        <f t="shared" si="198"/>
        <v>12761.880576496673</v>
      </c>
      <c r="AJ152" s="339">
        <f t="shared" si="199"/>
        <v>14594.8974685381</v>
      </c>
      <c r="AM152" s="214" t="s">
        <v>27</v>
      </c>
      <c r="AN152" s="262">
        <f>SUM(AN132:AN151)/AD184</f>
        <v>9505.9578</v>
      </c>
      <c r="AO152" s="261">
        <f>SUM(AO132:AO151)/AD184</f>
        <v>21952.860500000003</v>
      </c>
      <c r="AP152" s="261">
        <f>SUM(AP132:AP151)/AD184</f>
        <v>43726.6136</v>
      </c>
      <c r="AQ152" s="261">
        <f>SUM(AQ132:AQ151)/AD184</f>
        <v>14802.469290469962</v>
      </c>
      <c r="AR152" s="262">
        <f>SUM(AR132:AR151)/AD184</f>
        <v>15653.949930666262</v>
      </c>
      <c r="AS152" s="261">
        <f>SUM(AS132:AS151)/AD184</f>
        <v>15912.088743651057</v>
      </c>
      <c r="AT152" s="264">
        <f>SUM(AT132:AT151)/AD184</f>
        <v>20404.76805015257</v>
      </c>
    </row>
    <row r="153" spans="1:36" ht="15.75">
      <c r="A153" s="214"/>
      <c r="B153" s="260"/>
      <c r="C153" s="265" t="s">
        <v>198</v>
      </c>
      <c r="D153" s="266">
        <v>20</v>
      </c>
      <c r="E153" s="229"/>
      <c r="F153" s="229"/>
      <c r="G153" s="229"/>
      <c r="H153" s="229"/>
      <c r="I153" s="344"/>
      <c r="J153" s="344"/>
      <c r="L153" s="345" t="s">
        <v>228</v>
      </c>
      <c r="M153" s="346"/>
      <c r="N153" s="296"/>
      <c r="O153" s="224"/>
      <c r="P153" s="347">
        <f>AVERAGE(P136,P147,P142)</f>
        <v>0.006773733333333334</v>
      </c>
      <c r="Q153" s="221"/>
      <c r="R153" s="221"/>
      <c r="T153" s="299" t="s">
        <v>197</v>
      </c>
      <c r="U153" s="267">
        <v>20</v>
      </c>
      <c r="AC153" s="299" t="s">
        <v>10</v>
      </c>
      <c r="AD153" s="340">
        <f t="shared" si="193"/>
        <v>4000</v>
      </c>
      <c r="AE153" s="341">
        <f t="shared" si="194"/>
        <v>8200</v>
      </c>
      <c r="AF153" s="341">
        <f t="shared" si="195"/>
        <v>13200</v>
      </c>
      <c r="AG153" s="341">
        <f t="shared" si="196"/>
        <v>5330</v>
      </c>
      <c r="AH153" s="252">
        <f t="shared" si="197"/>
        <v>4419.568822553897</v>
      </c>
      <c r="AI153" s="162">
        <f t="shared" si="198"/>
        <v>4490.311710193766</v>
      </c>
      <c r="AJ153" s="339">
        <f t="shared" si="199"/>
        <v>4775.22312492641</v>
      </c>
    </row>
    <row r="154" spans="1:36" ht="15.75">
      <c r="A154" s="216"/>
      <c r="B154" s="216"/>
      <c r="C154" s="229"/>
      <c r="D154" s="229"/>
      <c r="E154" s="229"/>
      <c r="F154" s="229"/>
      <c r="G154" s="229"/>
      <c r="H154" s="229"/>
      <c r="I154" s="344"/>
      <c r="J154" s="344"/>
      <c r="K154" s="241"/>
      <c r="L154" s="173" t="s">
        <v>230</v>
      </c>
      <c r="M154" s="344"/>
      <c r="N154" s="300"/>
      <c r="O154" s="221"/>
      <c r="P154" s="348">
        <f>SUM(P134+P141+P145+P148+P149)/5</f>
        <v>0.005738200000000001</v>
      </c>
      <c r="Q154" s="221"/>
      <c r="R154" s="221"/>
      <c r="AC154" s="214" t="s">
        <v>27</v>
      </c>
      <c r="AD154" s="262">
        <f>SUM(AD134:AD153)/AD184</f>
        <v>5183.34795</v>
      </c>
      <c r="AE154" s="261">
        <f>SUM(AE134:AE153)/AD184</f>
        <v>10532.62065</v>
      </c>
      <c r="AF154" s="261">
        <f>SUM(AF134:AF153)/AD184</f>
        <v>19117.67875</v>
      </c>
      <c r="AG154" s="261">
        <f>SUM(AG134:AG153)/AD184</f>
        <v>7275.624889782634</v>
      </c>
      <c r="AH154" s="262">
        <f>SUM(AH134:AH153)/AD184</f>
        <v>7775.667013108081</v>
      </c>
      <c r="AI154" s="261">
        <f>SUM(AI134:AI153)/AD184</f>
        <v>7837.207232114651</v>
      </c>
      <c r="AJ154" s="264">
        <f>SUM(AJ134:AJ153)/AD184</f>
        <v>10325.769923394062</v>
      </c>
    </row>
    <row r="155" spans="1:18" ht="15.75">
      <c r="A155" s="216"/>
      <c r="B155" s="216"/>
      <c r="C155" s="229"/>
      <c r="D155" s="229"/>
      <c r="E155" s="229"/>
      <c r="F155" s="229"/>
      <c r="G155" s="229"/>
      <c r="H155" s="229"/>
      <c r="I155" s="344"/>
      <c r="J155" s="344"/>
      <c r="K155" s="241"/>
      <c r="L155" s="181" t="s">
        <v>229</v>
      </c>
      <c r="M155" s="349"/>
      <c r="N155" s="328"/>
      <c r="O155" s="268"/>
      <c r="P155" s="350">
        <f>AVERAGE(P132:P133,P135:P140,P142:P144,P147:P148,P150:P151)</f>
        <v>0.007976994133333335</v>
      </c>
      <c r="Q155" s="221"/>
      <c r="R155" s="221"/>
    </row>
    <row r="156" spans="1:18" ht="15.75">
      <c r="A156" s="216"/>
      <c r="B156" s="216"/>
      <c r="C156" s="188" t="s">
        <v>157</v>
      </c>
      <c r="D156" s="229"/>
      <c r="E156" s="229"/>
      <c r="F156" s="229"/>
      <c r="G156" s="229"/>
      <c r="H156" s="229"/>
      <c r="I156" s="344"/>
      <c r="J156" s="344"/>
      <c r="K156" s="241"/>
      <c r="L156" s="344"/>
      <c r="M156" s="344"/>
      <c r="N156" s="188" t="s">
        <v>233</v>
      </c>
      <c r="O156" s="269"/>
      <c r="P156" s="221"/>
      <c r="Q156" s="221"/>
      <c r="R156" s="221"/>
    </row>
    <row r="157" ht="12.75">
      <c r="J157" s="300"/>
    </row>
    <row r="158" spans="1:20" ht="12.75">
      <c r="A158" s="295"/>
      <c r="B158" s="296"/>
      <c r="C158" s="296"/>
      <c r="D158" s="242"/>
      <c r="E158" s="172" t="s">
        <v>106</v>
      </c>
      <c r="F158" s="296"/>
      <c r="G158" s="351" t="s">
        <v>58</v>
      </c>
      <c r="H158" s="333" t="s">
        <v>67</v>
      </c>
      <c r="I158" s="171" t="s">
        <v>68</v>
      </c>
      <c r="J158" s="172" t="s">
        <v>69</v>
      </c>
      <c r="K158" s="172" t="s">
        <v>111</v>
      </c>
      <c r="L158" s="243"/>
      <c r="M158" s="171" t="s">
        <v>110</v>
      </c>
      <c r="N158" s="298"/>
      <c r="O158" s="413" t="s">
        <v>70</v>
      </c>
      <c r="P158" s="414"/>
      <c r="Q158" s="414"/>
      <c r="R158" s="414"/>
      <c r="S158" s="414"/>
      <c r="T158" s="415"/>
    </row>
    <row r="159" spans="1:20" ht="12.75">
      <c r="A159" s="299"/>
      <c r="B159" s="300"/>
      <c r="C159" s="306" t="s">
        <v>105</v>
      </c>
      <c r="D159" s="334">
        <v>100000</v>
      </c>
      <c r="E159" s="335">
        <v>250000</v>
      </c>
      <c r="F159" s="335">
        <v>500000</v>
      </c>
      <c r="G159" s="352" t="s">
        <v>71</v>
      </c>
      <c r="H159" s="337" t="s">
        <v>72</v>
      </c>
      <c r="I159" s="244" t="s">
        <v>73</v>
      </c>
      <c r="J159" s="24" t="s">
        <v>93</v>
      </c>
      <c r="K159" s="24" t="s">
        <v>112</v>
      </c>
      <c r="L159" s="245" t="s">
        <v>94</v>
      </c>
      <c r="M159" s="246" t="s">
        <v>95</v>
      </c>
      <c r="N159" s="304" t="s">
        <v>111</v>
      </c>
      <c r="P159" s="303" t="s">
        <v>238</v>
      </c>
      <c r="R159" s="270" t="s">
        <v>27</v>
      </c>
      <c r="S159" s="425" t="s">
        <v>245</v>
      </c>
      <c r="T159" s="426"/>
    </row>
    <row r="160" spans="1:35" ht="12.75">
      <c r="A160" s="174" t="s">
        <v>11</v>
      </c>
      <c r="B160" s="175"/>
      <c r="C160" s="62"/>
      <c r="D160" s="61"/>
      <c r="E160" s="328"/>
      <c r="F160" s="62"/>
      <c r="G160" s="248" t="s">
        <v>74</v>
      </c>
      <c r="H160" s="62"/>
      <c r="I160" s="61">
        <v>2005</v>
      </c>
      <c r="J160" s="62"/>
      <c r="K160" s="338"/>
      <c r="L160" s="248" t="s">
        <v>73</v>
      </c>
      <c r="M160" s="249" t="s">
        <v>96</v>
      </c>
      <c r="N160" s="338" t="s">
        <v>112</v>
      </c>
      <c r="O160" s="334">
        <v>100000</v>
      </c>
      <c r="P160" s="335">
        <v>250000</v>
      </c>
      <c r="Q160" s="335">
        <v>500000</v>
      </c>
      <c r="R160" s="248" t="s">
        <v>94</v>
      </c>
      <c r="S160" s="271" t="s">
        <v>243</v>
      </c>
      <c r="T160" s="271" t="s">
        <v>244</v>
      </c>
      <c r="AC160" s="313"/>
      <c r="AD160" s="242"/>
      <c r="AE160" s="172" t="s">
        <v>175</v>
      </c>
      <c r="AF160" s="296"/>
      <c r="AG160" s="333"/>
      <c r="AH160" s="243" t="s">
        <v>176</v>
      </c>
      <c r="AI160" s="353"/>
    </row>
    <row r="161" spans="1:35" ht="12.75">
      <c r="A161" s="173" t="s">
        <v>12</v>
      </c>
      <c r="B161" s="161"/>
      <c r="C161" s="162" t="s">
        <v>177</v>
      </c>
      <c r="D161" s="252">
        <f>F7</f>
        <v>1400</v>
      </c>
      <c r="E161" s="162">
        <f>F34</f>
        <v>1900</v>
      </c>
      <c r="F161" s="162">
        <f>F68</f>
        <v>2900</v>
      </c>
      <c r="G161" s="253">
        <f aca="true" t="shared" si="204" ref="G161:G180">C97</f>
        <v>150000</v>
      </c>
      <c r="H161" s="162">
        <f>F97</f>
        <v>1566.6666666666667</v>
      </c>
      <c r="I161" s="254">
        <v>1.029</v>
      </c>
      <c r="J161" s="255">
        <v>1.037</v>
      </c>
      <c r="K161" s="256">
        <v>28009</v>
      </c>
      <c r="L161" s="252">
        <f aca="true" t="shared" si="205" ref="L161:L180">H161/I161</f>
        <v>1522.5137674117268</v>
      </c>
      <c r="M161" s="162">
        <f aca="true" t="shared" si="206" ref="M161:M180">H161/J161</f>
        <v>1510.768241722919</v>
      </c>
      <c r="N161" s="256">
        <f>H161*$K$183/K161</f>
        <v>1317.2551679817202</v>
      </c>
      <c r="O161" s="257">
        <f aca="true" t="shared" si="207" ref="O161:O180">D161/O$160*$K$183/$K161</f>
        <v>0.011771216394730265</v>
      </c>
      <c r="P161" s="258">
        <f aca="true" t="shared" si="208" ref="P161:P180">E161/P$160*$K$183/$K161</f>
        <v>0.006390088899996429</v>
      </c>
      <c r="Q161" s="258">
        <f>F161/Q$160*$K$183/$K161</f>
        <v>0.004876646792102538</v>
      </c>
      <c r="R161" s="272">
        <f>H161/G161</f>
        <v>0.010444444444444445</v>
      </c>
      <c r="S161" s="271">
        <f>+L161/G161</f>
        <v>0.010150091782744845</v>
      </c>
      <c r="T161" s="273">
        <f>+N161/G161</f>
        <v>0.008781701119878135</v>
      </c>
      <c r="AC161" s="314"/>
      <c r="AD161" s="334">
        <v>100000</v>
      </c>
      <c r="AE161" s="335">
        <v>250000</v>
      </c>
      <c r="AF161" s="335">
        <v>500000</v>
      </c>
      <c r="AG161" s="337" t="s">
        <v>27</v>
      </c>
      <c r="AH161" s="245" t="s">
        <v>94</v>
      </c>
      <c r="AI161" s="354" t="s">
        <v>111</v>
      </c>
    </row>
    <row r="162" spans="1:35" ht="12.75">
      <c r="A162" s="173" t="s">
        <v>13</v>
      </c>
      <c r="B162" s="161"/>
      <c r="C162" s="162" t="s">
        <v>177</v>
      </c>
      <c r="D162" s="252">
        <f>F8</f>
        <v>1986.728</v>
      </c>
      <c r="E162" s="162">
        <f>F35</f>
        <v>3080.828</v>
      </c>
      <c r="F162" s="162">
        <f>F69</f>
        <v>3304.04</v>
      </c>
      <c r="G162" s="252">
        <f t="shared" si="204"/>
        <v>167000</v>
      </c>
      <c r="H162" s="162">
        <f>F98</f>
        <v>2475.426</v>
      </c>
      <c r="I162" s="254">
        <v>1.043</v>
      </c>
      <c r="J162" s="255">
        <v>1.033</v>
      </c>
      <c r="K162" s="256">
        <v>28324</v>
      </c>
      <c r="L162" s="252">
        <f t="shared" si="205"/>
        <v>2373.3710450623203</v>
      </c>
      <c r="M162" s="162">
        <f t="shared" si="206"/>
        <v>2396.346563407551</v>
      </c>
      <c r="N162" s="256">
        <f aca="true" t="shared" si="209" ref="N162:N180">H162*$K$183/K162</f>
        <v>2058.193839147013</v>
      </c>
      <c r="O162" s="257">
        <f t="shared" si="207"/>
        <v>0.0165186571105776</v>
      </c>
      <c r="P162" s="258">
        <f t="shared" si="208"/>
        <v>0.0102462222002542</v>
      </c>
      <c r="Q162" s="258">
        <f aca="true" t="shared" si="210" ref="Q162:Q180">F162/Q$160*$K$183/$K162</f>
        <v>0.0054942904956926985</v>
      </c>
      <c r="R162" s="257">
        <f aca="true" t="shared" si="211" ref="R162:R180">H162/G162</f>
        <v>0.014822910179640719</v>
      </c>
      <c r="S162" s="258">
        <f aca="true" t="shared" si="212" ref="S162:S180">+L162/G162</f>
        <v>0.014211802665043833</v>
      </c>
      <c r="T162" s="259">
        <f aca="true" t="shared" si="213" ref="T162:T180">+N162/G162</f>
        <v>0.012324514006868341</v>
      </c>
      <c r="AC162" s="251" t="s">
        <v>11</v>
      </c>
      <c r="AD162" s="61"/>
      <c r="AE162" s="328"/>
      <c r="AF162" s="62"/>
      <c r="AG162" s="249" t="s">
        <v>94</v>
      </c>
      <c r="AH162" s="248" t="s">
        <v>73</v>
      </c>
      <c r="AI162" s="250" t="s">
        <v>112</v>
      </c>
    </row>
    <row r="163" spans="1:35" ht="12.75">
      <c r="A163" s="299" t="s">
        <v>154</v>
      </c>
      <c r="B163" s="300"/>
      <c r="C163" s="341" t="s">
        <v>47</v>
      </c>
      <c r="D163" s="340">
        <f>F9</f>
        <v>850</v>
      </c>
      <c r="E163" s="341">
        <f>F36</f>
        <v>850</v>
      </c>
      <c r="F163" s="341">
        <f>F70</f>
        <v>850</v>
      </c>
      <c r="G163" s="253">
        <f t="shared" si="204"/>
        <v>100000</v>
      </c>
      <c r="H163" s="341">
        <f>F99</f>
        <v>850</v>
      </c>
      <c r="I163" s="254">
        <v>0.578</v>
      </c>
      <c r="J163" s="255">
        <v>0.738</v>
      </c>
      <c r="K163" s="256">
        <v>7337</v>
      </c>
      <c r="L163" s="252">
        <f t="shared" si="205"/>
        <v>1470.5882352941178</v>
      </c>
      <c r="M163" s="162">
        <f t="shared" si="206"/>
        <v>1151.7615176151762</v>
      </c>
      <c r="N163" s="256">
        <f t="shared" si="209"/>
        <v>2728.2949434373722</v>
      </c>
      <c r="O163" s="257">
        <f t="shared" si="207"/>
        <v>0.027282949434373725</v>
      </c>
      <c r="P163" s="258">
        <f t="shared" si="208"/>
        <v>0.010913179773749488</v>
      </c>
      <c r="Q163" s="258">
        <f t="shared" si="210"/>
        <v>0.005456589886874744</v>
      </c>
      <c r="R163" s="257">
        <f t="shared" si="211"/>
        <v>0.0085</v>
      </c>
      <c r="S163" s="258">
        <f t="shared" si="212"/>
        <v>0.014705882352941178</v>
      </c>
      <c r="T163" s="259">
        <f t="shared" si="213"/>
        <v>0.027282949434373722</v>
      </c>
      <c r="AC163" s="274" t="s">
        <v>12</v>
      </c>
      <c r="AD163" s="252">
        <f aca="true" t="shared" si="214" ref="AD163:AD182">D7</f>
        <v>6000</v>
      </c>
      <c r="AE163" s="162">
        <f aca="true" t="shared" si="215" ref="AE163:AE182">D34</f>
        <v>15000</v>
      </c>
      <c r="AF163" s="162">
        <f aca="true" t="shared" si="216" ref="AF163:AF182">D68</f>
        <v>30000</v>
      </c>
      <c r="AG163" s="162">
        <f aca="true" t="shared" si="217" ref="AG163:AG182">D97</f>
        <v>9000</v>
      </c>
      <c r="AH163" s="252">
        <f aca="true" t="shared" si="218" ref="AH163:AH182">AG163/I161</f>
        <v>8746.355685131197</v>
      </c>
      <c r="AI163" s="256">
        <f aca="true" t="shared" si="219" ref="AI163:AI182">AG163*$K$183/K161</f>
        <v>7567.210539469456</v>
      </c>
    </row>
    <row r="164" spans="1:35" ht="12.75">
      <c r="A164" s="299" t="s">
        <v>14</v>
      </c>
      <c r="B164" s="300"/>
      <c r="C164" s="341" t="s">
        <v>179</v>
      </c>
      <c r="D164" s="340">
        <f>1013+500</f>
        <v>1513</v>
      </c>
      <c r="E164" s="341">
        <f>1013+500</f>
        <v>1513</v>
      </c>
      <c r="F164" s="339">
        <f>1013+500</f>
        <v>1513</v>
      </c>
      <c r="G164" s="252">
        <f t="shared" si="204"/>
        <v>221742.5</v>
      </c>
      <c r="H164" s="341">
        <f>D164</f>
        <v>1513</v>
      </c>
      <c r="I164" s="254">
        <v>1.358</v>
      </c>
      <c r="J164" s="255">
        <v>1.321</v>
      </c>
      <c r="K164" s="256">
        <v>31202</v>
      </c>
      <c r="L164" s="252">
        <f t="shared" si="205"/>
        <v>1114.1384388807069</v>
      </c>
      <c r="M164" s="162">
        <f t="shared" si="206"/>
        <v>1145.344436033308</v>
      </c>
      <c r="N164" s="256">
        <f t="shared" si="209"/>
        <v>1141.9508364848407</v>
      </c>
      <c r="O164" s="257">
        <f t="shared" si="207"/>
        <v>0.011419508364848407</v>
      </c>
      <c r="P164" s="258">
        <f>E164/P$160*$K$183/$K164</f>
        <v>0.004567803345939363</v>
      </c>
      <c r="Q164" s="258">
        <f t="shared" si="210"/>
        <v>0.0022839016729696814</v>
      </c>
      <c r="R164" s="257">
        <f>H164/G164</f>
        <v>0.006823229647000462</v>
      </c>
      <c r="S164" s="258">
        <f t="shared" si="212"/>
        <v>0.005024469548601224</v>
      </c>
      <c r="T164" s="259">
        <f t="shared" si="213"/>
        <v>0.0051498961023928235</v>
      </c>
      <c r="AC164" s="274" t="s">
        <v>13</v>
      </c>
      <c r="AD164" s="252">
        <f t="shared" si="214"/>
        <v>3000</v>
      </c>
      <c r="AE164" s="162">
        <f t="shared" si="215"/>
        <v>7500</v>
      </c>
      <c r="AF164" s="162">
        <f t="shared" si="216"/>
        <v>15000</v>
      </c>
      <c r="AG164" s="162">
        <f t="shared" si="217"/>
        <v>5010</v>
      </c>
      <c r="AH164" s="252">
        <f t="shared" si="218"/>
        <v>4803.451581975072</v>
      </c>
      <c r="AI164" s="256">
        <f t="shared" si="219"/>
        <v>4165.566304194323</v>
      </c>
    </row>
    <row r="165" spans="1:35" ht="12.75">
      <c r="A165" s="299" t="s">
        <v>209</v>
      </c>
      <c r="B165" s="300"/>
      <c r="C165" s="341" t="s">
        <v>47</v>
      </c>
      <c r="D165" s="340">
        <f>F11</f>
        <v>1060</v>
      </c>
      <c r="E165" s="341">
        <f>F38</f>
        <v>1345</v>
      </c>
      <c r="F165" s="341">
        <f>F72</f>
        <v>1700</v>
      </c>
      <c r="G165" s="252">
        <f t="shared" si="204"/>
        <v>297750</v>
      </c>
      <c r="H165" s="341">
        <f>F101</f>
        <v>1412.805</v>
      </c>
      <c r="I165" s="254">
        <v>1.049</v>
      </c>
      <c r="J165" s="255">
        <v>1.088</v>
      </c>
      <c r="K165" s="256">
        <v>33688</v>
      </c>
      <c r="L165" s="252">
        <f t="shared" si="205"/>
        <v>1346.811248808389</v>
      </c>
      <c r="M165" s="162">
        <f t="shared" si="206"/>
        <v>1298.5340073529412</v>
      </c>
      <c r="N165" s="256">
        <f t="shared" si="209"/>
        <v>987.6382613987176</v>
      </c>
      <c r="O165" s="257">
        <f t="shared" si="207"/>
        <v>0.007410056993588221</v>
      </c>
      <c r="P165" s="258">
        <f t="shared" si="208"/>
        <v>0.003760953455236286</v>
      </c>
      <c r="Q165" s="258">
        <f t="shared" si="210"/>
        <v>0.0023768107337924483</v>
      </c>
      <c r="R165" s="257">
        <f t="shared" si="211"/>
        <v>0.0047449370277078086</v>
      </c>
      <c r="S165" s="258">
        <f t="shared" si="212"/>
        <v>0.004523295545955967</v>
      </c>
      <c r="T165" s="259">
        <f t="shared" si="213"/>
        <v>0.003317005076066222</v>
      </c>
      <c r="AC165" s="314" t="s">
        <v>154</v>
      </c>
      <c r="AD165" s="340">
        <f t="shared" si="214"/>
        <v>5000</v>
      </c>
      <c r="AE165" s="341">
        <f t="shared" si="215"/>
        <v>10000</v>
      </c>
      <c r="AF165" s="341">
        <f t="shared" si="216"/>
        <v>15000</v>
      </c>
      <c r="AG165" s="341">
        <f t="shared" si="217"/>
        <v>5000</v>
      </c>
      <c r="AH165" s="252">
        <f t="shared" si="218"/>
        <v>8650.519031141868</v>
      </c>
      <c r="AI165" s="256">
        <f t="shared" si="219"/>
        <v>16048.79378492572</v>
      </c>
    </row>
    <row r="166" spans="1:35" ht="12.75">
      <c r="A166" s="299" t="s">
        <v>1</v>
      </c>
      <c r="B166" s="300"/>
      <c r="C166" s="341" t="s">
        <v>179</v>
      </c>
      <c r="D166" s="340">
        <v>930</v>
      </c>
      <c r="E166" s="341">
        <v>930</v>
      </c>
      <c r="F166" s="341">
        <v>930</v>
      </c>
      <c r="G166" s="252">
        <f t="shared" si="204"/>
        <v>123756</v>
      </c>
      <c r="H166" s="341">
        <f>D166</f>
        <v>930</v>
      </c>
      <c r="I166" s="254">
        <v>1.22</v>
      </c>
      <c r="J166" s="255">
        <v>1.128</v>
      </c>
      <c r="K166" s="256">
        <v>25006</v>
      </c>
      <c r="L166" s="252">
        <f t="shared" si="205"/>
        <v>762.2950819672132</v>
      </c>
      <c r="M166" s="162">
        <f t="shared" si="206"/>
        <v>824.4680851063831</v>
      </c>
      <c r="N166" s="256">
        <f t="shared" si="209"/>
        <v>875.8497960489483</v>
      </c>
      <c r="O166" s="257">
        <f t="shared" si="207"/>
        <v>0.008758497960489482</v>
      </c>
      <c r="P166" s="258">
        <f>E166/P$160*$K$183/$K166</f>
        <v>0.0035033991841957935</v>
      </c>
      <c r="Q166" s="258">
        <f t="shared" si="210"/>
        <v>0.0017516995920978968</v>
      </c>
      <c r="R166" s="257">
        <f t="shared" si="211"/>
        <v>0.007514787161834578</v>
      </c>
      <c r="S166" s="258">
        <f t="shared" si="212"/>
        <v>0.0061596616080611295</v>
      </c>
      <c r="T166" s="259">
        <f t="shared" si="213"/>
        <v>0.007077230971015129</v>
      </c>
      <c r="AC166" s="314" t="s">
        <v>14</v>
      </c>
      <c r="AD166" s="340">
        <f t="shared" si="214"/>
        <v>4147</v>
      </c>
      <c r="AE166" s="341">
        <f t="shared" si="215"/>
        <v>7747</v>
      </c>
      <c r="AF166" s="339">
        <f t="shared" si="216"/>
        <v>13747</v>
      </c>
      <c r="AG166" s="341">
        <f t="shared" si="217"/>
        <v>7068.82</v>
      </c>
      <c r="AH166" s="252">
        <f t="shared" si="218"/>
        <v>5205.316642120765</v>
      </c>
      <c r="AI166" s="256">
        <f t="shared" si="219"/>
        <v>5335.257707839241</v>
      </c>
    </row>
    <row r="167" spans="1:35" ht="12.75">
      <c r="A167" s="299" t="s">
        <v>2</v>
      </c>
      <c r="B167" s="300"/>
      <c r="C167" s="341" t="s">
        <v>177</v>
      </c>
      <c r="D167" s="340">
        <f aca="true" t="shared" si="220" ref="D167:D179">F13</f>
        <v>1422.731</v>
      </c>
      <c r="E167" s="341">
        <f aca="true" t="shared" si="221" ref="E167:E179">F40</f>
        <v>2948.9</v>
      </c>
      <c r="F167" s="341">
        <f aca="true" t="shared" si="222" ref="F167:F179">F74</f>
        <v>5492.5</v>
      </c>
      <c r="G167" s="252">
        <f t="shared" si="204"/>
        <v>226629.91335412173</v>
      </c>
      <c r="H167" s="341">
        <f aca="true" t="shared" si="223" ref="H167:H179">F103</f>
        <v>2711.1219882249775</v>
      </c>
      <c r="I167" s="254">
        <v>1.085</v>
      </c>
      <c r="J167" s="255">
        <v>1.069</v>
      </c>
      <c r="K167" s="256">
        <v>25050</v>
      </c>
      <c r="L167" s="252">
        <f t="shared" si="205"/>
        <v>2498.7299430644953</v>
      </c>
      <c r="M167" s="162">
        <f t="shared" si="206"/>
        <v>2536.129081594928</v>
      </c>
      <c r="N167" s="256">
        <f t="shared" si="209"/>
        <v>2548.7793541995297</v>
      </c>
      <c r="O167" s="257">
        <f t="shared" si="207"/>
        <v>0.013375375269461079</v>
      </c>
      <c r="P167" s="258">
        <f t="shared" si="208"/>
        <v>0.011089276646706588</v>
      </c>
      <c r="Q167" s="258">
        <f t="shared" si="210"/>
        <v>0.010327215568862276</v>
      </c>
      <c r="R167" s="257">
        <f t="shared" si="211"/>
        <v>0.011962772028195148</v>
      </c>
      <c r="S167" s="258">
        <f t="shared" si="212"/>
        <v>0.011025596339350366</v>
      </c>
      <c r="T167" s="259">
        <f t="shared" si="213"/>
        <v>0.011246438373812204</v>
      </c>
      <c r="AC167" s="314" t="s">
        <v>0</v>
      </c>
      <c r="AD167" s="340">
        <f t="shared" si="214"/>
        <v>1651</v>
      </c>
      <c r="AE167" s="341">
        <f t="shared" si="215"/>
        <v>3579</v>
      </c>
      <c r="AF167" s="341">
        <f t="shared" si="216"/>
        <v>7001</v>
      </c>
      <c r="AG167" s="341">
        <f t="shared" si="217"/>
        <v>4232.602</v>
      </c>
      <c r="AH167" s="252">
        <f t="shared" si="218"/>
        <v>4034.8922783603434</v>
      </c>
      <c r="AI167" s="256">
        <f t="shared" si="219"/>
        <v>2958.851136903348</v>
      </c>
    </row>
    <row r="168" spans="1:35" ht="12.75">
      <c r="A168" s="299" t="s">
        <v>3</v>
      </c>
      <c r="B168" s="300"/>
      <c r="C168" s="341" t="s">
        <v>177</v>
      </c>
      <c r="D168" s="340">
        <f t="shared" si="220"/>
        <v>737.6</v>
      </c>
      <c r="E168" s="341">
        <f t="shared" si="221"/>
        <v>1458.5</v>
      </c>
      <c r="F168" s="341">
        <f t="shared" si="222"/>
        <v>2626.9</v>
      </c>
      <c r="G168" s="252">
        <f t="shared" si="204"/>
        <v>130862.5</v>
      </c>
      <c r="H168" s="341">
        <f t="shared" si="223"/>
        <v>885.925175</v>
      </c>
      <c r="I168" s="254">
        <v>1.041</v>
      </c>
      <c r="J168" s="255">
        <v>1.06</v>
      </c>
      <c r="K168" s="256">
        <v>31916</v>
      </c>
      <c r="L168" s="252">
        <f t="shared" si="205"/>
        <v>851.0328290105668</v>
      </c>
      <c r="M168" s="162">
        <f t="shared" si="206"/>
        <v>835.778466981132</v>
      </c>
      <c r="N168" s="256">
        <f>H168*$K$183/K168</f>
        <v>653.7015249796341</v>
      </c>
      <c r="O168" s="257">
        <f t="shared" si="207"/>
        <v>0.005442561724526883</v>
      </c>
      <c r="P168" s="258">
        <f t="shared" si="208"/>
        <v>0.004304759368341897</v>
      </c>
      <c r="Q168" s="258">
        <f t="shared" si="210"/>
        <v>0.003876644629652839</v>
      </c>
      <c r="R168" s="257">
        <f t="shared" si="211"/>
        <v>0.006769893399560608</v>
      </c>
      <c r="S168" s="258">
        <f t="shared" si="212"/>
        <v>0.006503259749818067</v>
      </c>
      <c r="T168" s="259">
        <f t="shared" si="213"/>
        <v>0.00499533116805528</v>
      </c>
      <c r="AC168" s="314" t="s">
        <v>1</v>
      </c>
      <c r="AD168" s="340">
        <f t="shared" si="214"/>
        <v>3125</v>
      </c>
      <c r="AE168" s="341">
        <f t="shared" si="215"/>
        <v>7812.5</v>
      </c>
      <c r="AF168" s="341">
        <f t="shared" si="216"/>
        <v>15625</v>
      </c>
      <c r="AG168" s="341">
        <f t="shared" si="217"/>
        <v>3867.375</v>
      </c>
      <c r="AH168" s="252">
        <f t="shared" si="218"/>
        <v>3169.9795081967213</v>
      </c>
      <c r="AI168" s="256">
        <f t="shared" si="219"/>
        <v>3642.1931236503237</v>
      </c>
    </row>
    <row r="169" spans="1:35" ht="12.75">
      <c r="A169" s="299" t="s">
        <v>15</v>
      </c>
      <c r="B169" s="300"/>
      <c r="C169" s="341" t="s">
        <v>65</v>
      </c>
      <c r="D169" s="340">
        <f t="shared" si="220"/>
        <v>3190</v>
      </c>
      <c r="E169" s="341">
        <f t="shared" si="221"/>
        <v>6490</v>
      </c>
      <c r="F169" s="341">
        <f t="shared" si="222"/>
        <v>11990</v>
      </c>
      <c r="G169" s="253">
        <f t="shared" si="204"/>
        <v>130000</v>
      </c>
      <c r="H169" s="341">
        <f t="shared" si="223"/>
        <v>3850</v>
      </c>
      <c r="I169" s="254">
        <v>0.878</v>
      </c>
      <c r="J169" s="255">
        <v>0.849</v>
      </c>
      <c r="K169" s="256">
        <v>17140</v>
      </c>
      <c r="L169" s="252">
        <f t="shared" si="205"/>
        <v>4384.96583143508</v>
      </c>
      <c r="M169" s="162">
        <f t="shared" si="206"/>
        <v>4534.746760895171</v>
      </c>
      <c r="N169" s="256">
        <f t="shared" si="209"/>
        <v>5289.819136522754</v>
      </c>
      <c r="O169" s="257">
        <f t="shared" si="207"/>
        <v>0.043829929988331386</v>
      </c>
      <c r="P169" s="258">
        <f t="shared" si="208"/>
        <v>0.035668494749124854</v>
      </c>
      <c r="Q169" s="258">
        <f t="shared" si="210"/>
        <v>0.03294801633605601</v>
      </c>
      <c r="R169" s="257">
        <f t="shared" si="211"/>
        <v>0.029615384615384616</v>
      </c>
      <c r="S169" s="258">
        <f t="shared" si="212"/>
        <v>0.03373050639565446</v>
      </c>
      <c r="T169" s="259">
        <f t="shared" si="213"/>
        <v>0.04069091643479041</v>
      </c>
      <c r="AC169" s="314" t="s">
        <v>2</v>
      </c>
      <c r="AD169" s="340">
        <f t="shared" si="214"/>
        <v>8000</v>
      </c>
      <c r="AE169" s="341">
        <f t="shared" si="215"/>
        <v>17500</v>
      </c>
      <c r="AF169" s="341">
        <f t="shared" si="216"/>
        <v>30000</v>
      </c>
      <c r="AG169" s="341">
        <f t="shared" si="217"/>
        <v>16019.894512427709</v>
      </c>
      <c r="AH169" s="252">
        <f t="shared" si="218"/>
        <v>14764.879734956414</v>
      </c>
      <c r="AI169" s="256">
        <f t="shared" si="219"/>
        <v>15060.619391923055</v>
      </c>
    </row>
    <row r="170" spans="1:35" ht="12.75">
      <c r="A170" s="299" t="s">
        <v>19</v>
      </c>
      <c r="B170" s="300"/>
      <c r="C170" s="341" t="s">
        <v>65</v>
      </c>
      <c r="D170" s="340">
        <f t="shared" si="220"/>
        <v>1728</v>
      </c>
      <c r="E170" s="341">
        <f t="shared" si="221"/>
        <v>3269</v>
      </c>
      <c r="F170" s="341">
        <f t="shared" si="222"/>
        <v>4645</v>
      </c>
      <c r="G170" s="253">
        <f t="shared" si="204"/>
        <v>100000</v>
      </c>
      <c r="H170" s="341">
        <f t="shared" si="223"/>
        <v>1728</v>
      </c>
      <c r="I170" s="254">
        <v>0.636</v>
      </c>
      <c r="J170" s="255">
        <v>0.611</v>
      </c>
      <c r="K170" s="256">
        <v>5848</v>
      </c>
      <c r="L170" s="252">
        <f t="shared" si="205"/>
        <v>2716.9811320754716</v>
      </c>
      <c r="M170" s="162">
        <f t="shared" si="206"/>
        <v>2828.150572831424</v>
      </c>
      <c r="N170" s="256">
        <f t="shared" si="209"/>
        <v>6958.686730506156</v>
      </c>
      <c r="O170" s="257">
        <f t="shared" si="207"/>
        <v>0.06958686730506156</v>
      </c>
      <c r="P170" s="258">
        <f t="shared" si="208"/>
        <v>0.052657284541723665</v>
      </c>
      <c r="Q170" s="258">
        <f t="shared" si="210"/>
        <v>0.0374109952120383</v>
      </c>
      <c r="R170" s="257">
        <f t="shared" si="211"/>
        <v>0.01728</v>
      </c>
      <c r="S170" s="258">
        <f t="shared" si="212"/>
        <v>0.027169811320754716</v>
      </c>
      <c r="T170" s="259">
        <f t="shared" si="213"/>
        <v>0.06958686730506156</v>
      </c>
      <c r="AC170" s="314" t="s">
        <v>3</v>
      </c>
      <c r="AD170" s="340">
        <f t="shared" si="214"/>
        <v>4000</v>
      </c>
      <c r="AE170" s="341">
        <f t="shared" si="215"/>
        <v>10000</v>
      </c>
      <c r="AF170" s="341">
        <f t="shared" si="216"/>
        <v>20000</v>
      </c>
      <c r="AG170" s="341">
        <f t="shared" si="217"/>
        <v>5234.5</v>
      </c>
      <c r="AH170" s="252">
        <f t="shared" si="218"/>
        <v>5028.338136407301</v>
      </c>
      <c r="AI170" s="256">
        <f t="shared" si="219"/>
        <v>3862.4036533400176</v>
      </c>
    </row>
    <row r="171" spans="1:35" ht="12.75">
      <c r="A171" s="299" t="s">
        <v>4</v>
      </c>
      <c r="B171" s="300"/>
      <c r="C171" s="341" t="s">
        <v>47</v>
      </c>
      <c r="D171" s="340">
        <f t="shared" si="220"/>
        <v>1000</v>
      </c>
      <c r="E171" s="341">
        <f t="shared" si="221"/>
        <v>2000</v>
      </c>
      <c r="F171" s="341">
        <f t="shared" si="222"/>
        <v>4000</v>
      </c>
      <c r="G171" s="252">
        <f t="shared" si="204"/>
        <v>303310</v>
      </c>
      <c r="H171" s="341">
        <f t="shared" si="223"/>
        <v>2426.48</v>
      </c>
      <c r="I171" s="254">
        <v>1.234</v>
      </c>
      <c r="J171" s="255">
        <v>1.204</v>
      </c>
      <c r="K171" s="256">
        <v>32233</v>
      </c>
      <c r="L171" s="252">
        <f t="shared" si="205"/>
        <v>1966.3533225283632</v>
      </c>
      <c r="M171" s="162">
        <f t="shared" si="206"/>
        <v>2015.3488372093025</v>
      </c>
      <c r="N171" s="256">
        <f t="shared" si="209"/>
        <v>1772.8292122979556</v>
      </c>
      <c r="O171" s="257">
        <f t="shared" si="207"/>
        <v>0.007306176899450873</v>
      </c>
      <c r="P171" s="258">
        <f t="shared" si="208"/>
        <v>0.0058449415195606985</v>
      </c>
      <c r="Q171" s="258">
        <f t="shared" si="210"/>
        <v>0.0058449415195606985</v>
      </c>
      <c r="R171" s="257">
        <f t="shared" si="211"/>
        <v>0.008</v>
      </c>
      <c r="S171" s="258">
        <f t="shared" si="212"/>
        <v>0.006482982171799028</v>
      </c>
      <c r="T171" s="259">
        <f t="shared" si="213"/>
        <v>0.0058449415195606985</v>
      </c>
      <c r="AC171" s="314" t="s">
        <v>15</v>
      </c>
      <c r="AD171" s="340">
        <f t="shared" si="214"/>
        <v>4000</v>
      </c>
      <c r="AE171" s="341">
        <f t="shared" si="215"/>
        <v>10000</v>
      </c>
      <c r="AF171" s="341">
        <f t="shared" si="216"/>
        <v>20000</v>
      </c>
      <c r="AG171" s="341">
        <f t="shared" si="217"/>
        <v>5200</v>
      </c>
      <c r="AH171" s="252">
        <f t="shared" si="218"/>
        <v>5922.55125284738</v>
      </c>
      <c r="AI171" s="256">
        <f t="shared" si="219"/>
        <v>7144.690781796966</v>
      </c>
    </row>
    <row r="172" spans="1:35" ht="12.75">
      <c r="A172" s="299" t="s">
        <v>5</v>
      </c>
      <c r="B172" s="300"/>
      <c r="C172" s="341" t="s">
        <v>177</v>
      </c>
      <c r="D172" s="340">
        <f t="shared" si="220"/>
        <v>2319</v>
      </c>
      <c r="E172" s="341">
        <f t="shared" si="221"/>
        <v>3245</v>
      </c>
      <c r="F172" s="341">
        <f t="shared" si="222"/>
        <v>4745</v>
      </c>
      <c r="G172" s="252">
        <f t="shared" si="204"/>
        <v>129532</v>
      </c>
      <c r="H172" s="341">
        <f t="shared" si="223"/>
        <v>2501.31088</v>
      </c>
      <c r="I172" s="254">
        <v>1.026</v>
      </c>
      <c r="J172" s="255">
        <v>1.006</v>
      </c>
      <c r="K172" s="256">
        <v>19636</v>
      </c>
      <c r="L172" s="252">
        <f t="shared" si="205"/>
        <v>2437.924834307992</v>
      </c>
      <c r="M172" s="162">
        <f t="shared" si="206"/>
        <v>2486.3925248508945</v>
      </c>
      <c r="N172" s="256">
        <f t="shared" si="209"/>
        <v>2999.891588103483</v>
      </c>
      <c r="O172" s="257">
        <f t="shared" si="207"/>
        <v>0.027812410877979223</v>
      </c>
      <c r="P172" s="258">
        <f t="shared" si="208"/>
        <v>0.01556727439397026</v>
      </c>
      <c r="Q172" s="258">
        <f t="shared" si="210"/>
        <v>0.011381620492972092</v>
      </c>
      <c r="R172" s="257">
        <f>H172/G172</f>
        <v>0.019310370255998518</v>
      </c>
      <c r="S172" s="258">
        <f t="shared" si="212"/>
        <v>0.01882102364132409</v>
      </c>
      <c r="T172" s="259">
        <f t="shared" si="213"/>
        <v>0.02315946320680205</v>
      </c>
      <c r="AC172" s="314" t="s">
        <v>19</v>
      </c>
      <c r="AD172" s="340">
        <f t="shared" si="214"/>
        <v>4000</v>
      </c>
      <c r="AE172" s="341">
        <f t="shared" si="215"/>
        <v>7500</v>
      </c>
      <c r="AF172" s="341">
        <f t="shared" si="216"/>
        <v>15000</v>
      </c>
      <c r="AG172" s="341">
        <f t="shared" si="217"/>
        <v>6500</v>
      </c>
      <c r="AH172" s="252">
        <f t="shared" si="218"/>
        <v>10220.125786163522</v>
      </c>
      <c r="AI172" s="256">
        <f t="shared" si="219"/>
        <v>26175.61559507524</v>
      </c>
    </row>
    <row r="173" spans="1:35" ht="12.75">
      <c r="A173" s="299" t="s">
        <v>6</v>
      </c>
      <c r="B173" s="300"/>
      <c r="C173" s="341" t="s">
        <v>178</v>
      </c>
      <c r="D173" s="340">
        <f t="shared" si="220"/>
        <v>1055.8</v>
      </c>
      <c r="E173" s="341">
        <f t="shared" si="221"/>
        <v>1152.9</v>
      </c>
      <c r="F173" s="341">
        <f t="shared" si="222"/>
        <v>1849.1</v>
      </c>
      <c r="G173" s="252">
        <f t="shared" si="204"/>
        <v>202000</v>
      </c>
      <c r="H173" s="341">
        <f t="shared" si="223"/>
        <v>1121.828</v>
      </c>
      <c r="I173" s="254">
        <v>1.052</v>
      </c>
      <c r="J173" s="255">
        <v>1.064</v>
      </c>
      <c r="K173" s="256">
        <v>29554</v>
      </c>
      <c r="L173" s="252">
        <f t="shared" si="205"/>
        <v>1066.3764258555132</v>
      </c>
      <c r="M173" s="162">
        <f t="shared" si="206"/>
        <v>1054.3496240601503</v>
      </c>
      <c r="N173" s="256">
        <f t="shared" si="209"/>
        <v>893.9246599445083</v>
      </c>
      <c r="O173" s="257">
        <f t="shared" si="207"/>
        <v>0.00841310482506598</v>
      </c>
      <c r="P173" s="258">
        <f t="shared" si="208"/>
        <v>0.0036747370914258647</v>
      </c>
      <c r="Q173" s="258">
        <f t="shared" si="210"/>
        <v>0.0029468975434797317</v>
      </c>
      <c r="R173" s="257">
        <f t="shared" si="211"/>
        <v>0.0055536039603960394</v>
      </c>
      <c r="S173" s="258">
        <f t="shared" si="212"/>
        <v>0.005279091217106501</v>
      </c>
      <c r="T173" s="259">
        <f t="shared" si="213"/>
        <v>0.004425369603685685</v>
      </c>
      <c r="AC173" s="314" t="s">
        <v>4</v>
      </c>
      <c r="AD173" s="340">
        <f t="shared" si="214"/>
        <v>2000</v>
      </c>
      <c r="AE173" s="341">
        <f t="shared" si="215"/>
        <v>2000</v>
      </c>
      <c r="AF173" s="341">
        <f t="shared" si="216"/>
        <v>6500</v>
      </c>
      <c r="AG173" s="341">
        <f t="shared" si="217"/>
        <v>2959.58</v>
      </c>
      <c r="AH173" s="252">
        <f t="shared" si="218"/>
        <v>2398.3630470016205</v>
      </c>
      <c r="AI173" s="256">
        <f t="shared" si="219"/>
        <v>2162.3215028076816</v>
      </c>
    </row>
    <row r="174" spans="1:35" ht="12.75">
      <c r="A174" s="299" t="s">
        <v>7</v>
      </c>
      <c r="B174" s="300"/>
      <c r="C174" s="341" t="s">
        <v>177</v>
      </c>
      <c r="D174" s="340">
        <f t="shared" si="220"/>
        <v>677</v>
      </c>
      <c r="E174" s="341">
        <f t="shared" si="221"/>
        <v>1430</v>
      </c>
      <c r="F174" s="341">
        <f t="shared" si="222"/>
        <v>2050</v>
      </c>
      <c r="G174" s="253">
        <f t="shared" si="204"/>
        <v>100000</v>
      </c>
      <c r="H174" s="341">
        <f t="shared" si="223"/>
        <v>677</v>
      </c>
      <c r="I174" s="254">
        <v>0.596</v>
      </c>
      <c r="J174" s="255">
        <v>0.546</v>
      </c>
      <c r="K174" s="256">
        <v>5200</v>
      </c>
      <c r="L174" s="252">
        <f t="shared" si="205"/>
        <v>1135.9060402684565</v>
      </c>
      <c r="M174" s="162">
        <f t="shared" si="206"/>
        <v>1239.9267399267399</v>
      </c>
      <c r="N174" s="256">
        <f t="shared" si="209"/>
        <v>3066.028846153846</v>
      </c>
      <c r="O174" s="257">
        <f t="shared" si="207"/>
        <v>0.030660288461538465</v>
      </c>
      <c r="P174" s="258">
        <f t="shared" si="208"/>
        <v>0.025905000000000004</v>
      </c>
      <c r="Q174" s="258">
        <f t="shared" si="210"/>
        <v>0.018568269230769232</v>
      </c>
      <c r="R174" s="257">
        <f t="shared" si="211"/>
        <v>0.00677</v>
      </c>
      <c r="S174" s="258">
        <f t="shared" si="212"/>
        <v>0.011359060402684565</v>
      </c>
      <c r="T174" s="259">
        <f t="shared" si="213"/>
        <v>0.03066028846153846</v>
      </c>
      <c r="AC174" s="314" t="s">
        <v>5</v>
      </c>
      <c r="AD174" s="340">
        <f t="shared" si="214"/>
        <v>6000</v>
      </c>
      <c r="AE174" s="341">
        <f t="shared" si="215"/>
        <v>15000</v>
      </c>
      <c r="AF174" s="341">
        <f t="shared" si="216"/>
        <v>30000</v>
      </c>
      <c r="AG174" s="341">
        <f t="shared" si="217"/>
        <v>7771.92</v>
      </c>
      <c r="AH174" s="252">
        <f t="shared" si="218"/>
        <v>7574.970760233918</v>
      </c>
      <c r="AI174" s="256">
        <f t="shared" si="219"/>
        <v>9321.079445915666</v>
      </c>
    </row>
    <row r="175" spans="1:35" ht="12.75">
      <c r="A175" s="299" t="s">
        <v>189</v>
      </c>
      <c r="B175" s="300"/>
      <c r="C175" s="341" t="s">
        <v>177</v>
      </c>
      <c r="D175" s="340">
        <f t="shared" si="220"/>
        <v>510.4</v>
      </c>
      <c r="E175" s="341">
        <f t="shared" si="221"/>
        <v>616.0350000000001</v>
      </c>
      <c r="F175" s="341">
        <f t="shared" si="222"/>
        <v>616.0350000000001</v>
      </c>
      <c r="G175" s="253">
        <f t="shared" si="204"/>
        <v>100000</v>
      </c>
      <c r="H175" s="341">
        <f t="shared" si="223"/>
        <v>510.4</v>
      </c>
      <c r="I175" s="254">
        <v>0.852</v>
      </c>
      <c r="J175" s="255">
        <v>0.713</v>
      </c>
      <c r="K175" s="256">
        <v>12086</v>
      </c>
      <c r="L175" s="252">
        <f>H175/I175</f>
        <v>599.0610328638497</v>
      </c>
      <c r="M175" s="162">
        <f>H175/J175</f>
        <v>715.8485273492286</v>
      </c>
      <c r="N175" s="256">
        <f t="shared" si="209"/>
        <v>994.5325169617739</v>
      </c>
      <c r="O175" s="257">
        <f t="shared" si="207"/>
        <v>0.00994532516961774</v>
      </c>
      <c r="P175" s="258">
        <f t="shared" si="208"/>
        <v>0.004801464256164158</v>
      </c>
      <c r="Q175" s="258">
        <f t="shared" si="210"/>
        <v>0.002400732128082079</v>
      </c>
      <c r="R175" s="257">
        <f>H175/G175</f>
        <v>0.005104</v>
      </c>
      <c r="S175" s="258">
        <f t="shared" si="212"/>
        <v>0.005990610328638497</v>
      </c>
      <c r="T175" s="259">
        <f t="shared" si="213"/>
        <v>0.00994532516961774</v>
      </c>
      <c r="AC175" s="314" t="s">
        <v>6</v>
      </c>
      <c r="AD175" s="340">
        <f t="shared" si="214"/>
        <v>1850</v>
      </c>
      <c r="AE175" s="341">
        <f t="shared" si="215"/>
        <v>4625</v>
      </c>
      <c r="AF175" s="341">
        <f t="shared" si="216"/>
        <v>9250</v>
      </c>
      <c r="AG175" s="341">
        <f t="shared" si="217"/>
        <v>3737</v>
      </c>
      <c r="AH175" s="252">
        <f t="shared" si="218"/>
        <v>3552.2813688212927</v>
      </c>
      <c r="AI175" s="256">
        <f t="shared" si="219"/>
        <v>2977.8151857616567</v>
      </c>
    </row>
    <row r="176" spans="1:35" ht="12.75">
      <c r="A176" s="315" t="s">
        <v>8</v>
      </c>
      <c r="B176" s="331"/>
      <c r="C176" s="341" t="s">
        <v>47</v>
      </c>
      <c r="D176" s="340">
        <f t="shared" si="220"/>
        <v>1437.9</v>
      </c>
      <c r="E176" s="341">
        <f t="shared" si="221"/>
        <v>1735.3</v>
      </c>
      <c r="F176" s="341">
        <f t="shared" si="222"/>
        <v>2327.6</v>
      </c>
      <c r="G176" s="252">
        <f t="shared" si="204"/>
        <v>193860</v>
      </c>
      <c r="H176" s="341">
        <f t="shared" si="223"/>
        <v>1623.9930933333335</v>
      </c>
      <c r="I176" s="254">
        <v>1.049</v>
      </c>
      <c r="J176" s="255">
        <v>1.088</v>
      </c>
      <c r="K176" s="256">
        <v>33688</v>
      </c>
      <c r="L176" s="252">
        <f t="shared" si="205"/>
        <v>1548.1345027009854</v>
      </c>
      <c r="M176" s="162">
        <f t="shared" si="206"/>
        <v>1492.6407107843138</v>
      </c>
      <c r="N176" s="256">
        <f t="shared" si="209"/>
        <v>1135.271828188079</v>
      </c>
      <c r="O176" s="257">
        <f t="shared" si="207"/>
        <v>0.010051812218000476</v>
      </c>
      <c r="P176" s="258">
        <f t="shared" si="208"/>
        <v>0.004852329019235336</v>
      </c>
      <c r="Q176" s="258">
        <f t="shared" si="210"/>
        <v>0.003254273331750178</v>
      </c>
      <c r="R176" s="257">
        <f t="shared" si="211"/>
        <v>0.008377143780735239</v>
      </c>
      <c r="S176" s="258">
        <f t="shared" si="212"/>
        <v>0.007985837731873441</v>
      </c>
      <c r="T176" s="259">
        <f t="shared" si="213"/>
        <v>0.005856142722521815</v>
      </c>
      <c r="AC176" s="314" t="s">
        <v>7</v>
      </c>
      <c r="AD176" s="340">
        <f t="shared" si="214"/>
        <v>2000</v>
      </c>
      <c r="AE176" s="341">
        <f t="shared" si="215"/>
        <v>3750</v>
      </c>
      <c r="AF176" s="341">
        <f t="shared" si="216"/>
        <v>6250</v>
      </c>
      <c r="AG176" s="341">
        <f t="shared" si="217"/>
        <v>2000</v>
      </c>
      <c r="AH176" s="252">
        <f t="shared" si="218"/>
        <v>3355.7046979865772</v>
      </c>
      <c r="AI176" s="256">
        <f t="shared" si="219"/>
        <v>9057.692307692309</v>
      </c>
    </row>
    <row r="177" spans="1:35" ht="12.75">
      <c r="A177" s="315" t="s">
        <v>188</v>
      </c>
      <c r="B177" s="331"/>
      <c r="C177" s="341" t="s">
        <v>47</v>
      </c>
      <c r="D177" s="340">
        <f t="shared" si="220"/>
        <v>420</v>
      </c>
      <c r="E177" s="341">
        <f t="shared" si="221"/>
        <v>420</v>
      </c>
      <c r="F177" s="341">
        <f t="shared" si="222"/>
        <v>420</v>
      </c>
      <c r="G177" s="252">
        <f t="shared" si="204"/>
        <v>100000</v>
      </c>
      <c r="H177" s="341">
        <f>F113</f>
        <v>420</v>
      </c>
      <c r="I177" s="254">
        <v>0.576</v>
      </c>
      <c r="J177" s="255">
        <v>0.55</v>
      </c>
      <c r="K177" s="256">
        <v>5445</v>
      </c>
      <c r="L177" s="252">
        <f>H177/I177</f>
        <v>729.1666666666667</v>
      </c>
      <c r="M177" s="162">
        <f>H177/J177</f>
        <v>763.6363636363636</v>
      </c>
      <c r="N177" s="256">
        <f t="shared" si="209"/>
        <v>1816.5289256198348</v>
      </c>
      <c r="O177" s="257">
        <f t="shared" si="207"/>
        <v>0.018165289256198345</v>
      </c>
      <c r="P177" s="258">
        <f t="shared" si="208"/>
        <v>0.007266115702479339</v>
      </c>
      <c r="Q177" s="258">
        <f t="shared" si="210"/>
        <v>0.0036330578512396693</v>
      </c>
      <c r="R177" s="257">
        <f>H177/G177</f>
        <v>0.0042</v>
      </c>
      <c r="S177" s="258">
        <f t="shared" si="212"/>
        <v>0.007291666666666668</v>
      </c>
      <c r="T177" s="259">
        <f t="shared" si="213"/>
        <v>0.01816528925619835</v>
      </c>
      <c r="AC177" s="314" t="s">
        <v>189</v>
      </c>
      <c r="AD177" s="340">
        <f t="shared" si="214"/>
        <v>3750</v>
      </c>
      <c r="AE177" s="341">
        <f t="shared" si="215"/>
        <v>9375</v>
      </c>
      <c r="AF177" s="341">
        <f t="shared" si="216"/>
        <v>18750</v>
      </c>
      <c r="AG177" s="341">
        <f t="shared" si="217"/>
        <v>3750</v>
      </c>
      <c r="AH177" s="252">
        <f t="shared" si="218"/>
        <v>4401.408450704225</v>
      </c>
      <c r="AI177" s="256">
        <f t="shared" si="219"/>
        <v>7307.008108555353</v>
      </c>
    </row>
    <row r="178" spans="1:35" ht="12.75">
      <c r="A178" s="299" t="s">
        <v>16</v>
      </c>
      <c r="B178" s="300"/>
      <c r="C178" s="341" t="s">
        <v>177</v>
      </c>
      <c r="D178" s="340">
        <f t="shared" si="220"/>
        <v>810</v>
      </c>
      <c r="E178" s="341">
        <f t="shared" si="221"/>
        <v>1203.75</v>
      </c>
      <c r="F178" s="341">
        <f t="shared" si="222"/>
        <v>1377</v>
      </c>
      <c r="G178" s="253">
        <f t="shared" si="204"/>
        <v>100000</v>
      </c>
      <c r="H178" s="341">
        <f t="shared" si="223"/>
        <v>810</v>
      </c>
      <c r="I178" s="254">
        <v>0.764</v>
      </c>
      <c r="J178" s="255">
        <v>0.731</v>
      </c>
      <c r="K178" s="256">
        <v>8901</v>
      </c>
      <c r="L178" s="252">
        <f t="shared" si="205"/>
        <v>1060.2094240837696</v>
      </c>
      <c r="M178" s="162">
        <f t="shared" si="206"/>
        <v>1108.0711354309167</v>
      </c>
      <c r="N178" s="256">
        <f t="shared" si="209"/>
        <v>2143.0738119312437</v>
      </c>
      <c r="O178" s="257">
        <f t="shared" si="207"/>
        <v>0.021430738119312436</v>
      </c>
      <c r="P178" s="258">
        <f t="shared" si="208"/>
        <v>0.01273938321536906</v>
      </c>
      <c r="Q178" s="258">
        <f t="shared" si="210"/>
        <v>0.007286450960566229</v>
      </c>
      <c r="R178" s="257">
        <f t="shared" si="211"/>
        <v>0.0081</v>
      </c>
      <c r="S178" s="258">
        <f t="shared" si="212"/>
        <v>0.010602094240837696</v>
      </c>
      <c r="T178" s="259">
        <f t="shared" si="213"/>
        <v>0.021430738119312436</v>
      </c>
      <c r="AC178" s="355" t="s">
        <v>8</v>
      </c>
      <c r="AD178" s="340">
        <f t="shared" si="214"/>
        <v>1000</v>
      </c>
      <c r="AE178" s="341">
        <f t="shared" si="215"/>
        <v>2500</v>
      </c>
      <c r="AF178" s="341">
        <f t="shared" si="216"/>
        <v>5000</v>
      </c>
      <c r="AG178" s="341">
        <f t="shared" si="217"/>
        <v>1938.6000000000001</v>
      </c>
      <c r="AH178" s="252">
        <f t="shared" si="218"/>
        <v>1848.0457578646333</v>
      </c>
      <c r="AI178" s="256">
        <f t="shared" si="219"/>
        <v>1355.201555450012</v>
      </c>
    </row>
    <row r="179" spans="1:35" ht="12.75">
      <c r="A179" s="299" t="s">
        <v>9</v>
      </c>
      <c r="B179" s="300"/>
      <c r="C179" s="341" t="s">
        <v>177</v>
      </c>
      <c r="D179" s="340">
        <f t="shared" si="220"/>
        <v>891.3</v>
      </c>
      <c r="E179" s="341">
        <f t="shared" si="221"/>
        <v>1194.3</v>
      </c>
      <c r="F179" s="341">
        <f t="shared" si="222"/>
        <v>1364.3</v>
      </c>
      <c r="G179" s="252">
        <f t="shared" si="204"/>
        <v>172630</v>
      </c>
      <c r="H179" s="341">
        <f t="shared" si="223"/>
        <v>1038.0126</v>
      </c>
      <c r="I179" s="254">
        <v>0.9</v>
      </c>
      <c r="J179" s="255">
        <v>0.902</v>
      </c>
      <c r="K179" s="256">
        <v>18004</v>
      </c>
      <c r="L179" s="252">
        <f t="shared" si="205"/>
        <v>1153.3473333333334</v>
      </c>
      <c r="M179" s="162">
        <f t="shared" si="206"/>
        <v>1150.790022172949</v>
      </c>
      <c r="N179" s="256">
        <f t="shared" si="209"/>
        <v>1357.7647594978894</v>
      </c>
      <c r="O179" s="257">
        <f t="shared" si="207"/>
        <v>0.01165858420351033</v>
      </c>
      <c r="P179" s="258">
        <f t="shared" si="208"/>
        <v>0.00624878138191513</v>
      </c>
      <c r="Q179" s="258">
        <f t="shared" si="210"/>
        <v>0.0035691251944012436</v>
      </c>
      <c r="R179" s="257">
        <f t="shared" si="211"/>
        <v>0.006012932862190813</v>
      </c>
      <c r="S179" s="258">
        <f t="shared" si="212"/>
        <v>0.006681036513545347</v>
      </c>
      <c r="T179" s="259">
        <f t="shared" si="213"/>
        <v>0.007865172678548858</v>
      </c>
      <c r="AC179" s="355" t="s">
        <v>188</v>
      </c>
      <c r="AD179" s="340">
        <f t="shared" si="214"/>
        <v>2150</v>
      </c>
      <c r="AE179" s="341">
        <f t="shared" si="215"/>
        <v>2150</v>
      </c>
      <c r="AF179" s="341">
        <f t="shared" si="216"/>
        <v>2150</v>
      </c>
      <c r="AG179" s="341">
        <f t="shared" si="217"/>
        <v>2150</v>
      </c>
      <c r="AH179" s="252">
        <f t="shared" si="218"/>
        <v>3732.638888888889</v>
      </c>
      <c r="AI179" s="256">
        <f t="shared" si="219"/>
        <v>9298.898071625345</v>
      </c>
    </row>
    <row r="180" spans="1:35" ht="12.75">
      <c r="A180" s="299" t="s">
        <v>10</v>
      </c>
      <c r="B180" s="300"/>
      <c r="C180" s="341" t="s">
        <v>179</v>
      </c>
      <c r="D180" s="340">
        <v>500</v>
      </c>
      <c r="E180" s="341">
        <v>500</v>
      </c>
      <c r="F180" s="341">
        <v>500</v>
      </c>
      <c r="G180" s="252">
        <f t="shared" si="204"/>
        <v>147500</v>
      </c>
      <c r="H180" s="341">
        <f>D180</f>
        <v>500</v>
      </c>
      <c r="I180" s="254">
        <v>1.206</v>
      </c>
      <c r="J180" s="255">
        <v>1.187</v>
      </c>
      <c r="K180" s="256">
        <v>25479</v>
      </c>
      <c r="L180" s="252">
        <f t="shared" si="205"/>
        <v>414.5936981757877</v>
      </c>
      <c r="M180" s="162">
        <f t="shared" si="206"/>
        <v>421.22999157540016</v>
      </c>
      <c r="N180" s="256">
        <f t="shared" si="209"/>
        <v>462.1452961262216</v>
      </c>
      <c r="O180" s="257">
        <f t="shared" si="207"/>
        <v>0.0046214529612622155</v>
      </c>
      <c r="P180" s="276">
        <f t="shared" si="208"/>
        <v>0.0018485811845048864</v>
      </c>
      <c r="Q180" s="258">
        <f t="shared" si="210"/>
        <v>0.0009242905922524432</v>
      </c>
      <c r="R180" s="275">
        <f t="shared" si="211"/>
        <v>0.003389830508474576</v>
      </c>
      <c r="S180" s="276">
        <f t="shared" si="212"/>
        <v>0.002810804733395171</v>
      </c>
      <c r="T180" s="277">
        <f t="shared" si="213"/>
        <v>0.0031331884483133668</v>
      </c>
      <c r="AC180" s="314" t="s">
        <v>16</v>
      </c>
      <c r="AD180" s="340">
        <f t="shared" si="214"/>
        <v>4000</v>
      </c>
      <c r="AE180" s="341">
        <f t="shared" si="215"/>
        <v>10000</v>
      </c>
      <c r="AF180" s="341">
        <f t="shared" si="216"/>
        <v>20000</v>
      </c>
      <c r="AG180" s="341">
        <f t="shared" si="217"/>
        <v>4000</v>
      </c>
      <c r="AH180" s="252">
        <f t="shared" si="218"/>
        <v>5235.602094240838</v>
      </c>
      <c r="AI180" s="256">
        <f t="shared" si="219"/>
        <v>10583.080552746882</v>
      </c>
    </row>
    <row r="181" spans="1:35" ht="15.75">
      <c r="A181" s="214" t="s">
        <v>27</v>
      </c>
      <c r="B181" s="260"/>
      <c r="C181" s="261"/>
      <c r="D181" s="262">
        <f>SUM(D161:D180)/D182</f>
        <v>1221.97295</v>
      </c>
      <c r="E181" s="261">
        <f>SUM(E161:E180)/D182</f>
        <v>1864.1256500000004</v>
      </c>
      <c r="F181" s="261">
        <f>SUM(F161:F180)/D182</f>
        <v>2760.0237500000003</v>
      </c>
      <c r="G181" s="261">
        <f>SUM(G161:G180)/D182</f>
        <v>159828.6456677061</v>
      </c>
      <c r="H181" s="261">
        <f>SUM(H161:H180)/D182</f>
        <v>1477.5984701612492</v>
      </c>
      <c r="I181" s="342"/>
      <c r="J181" s="343"/>
      <c r="K181" s="263">
        <f>SUM(K161:K180)/D182</f>
        <v>21187.3</v>
      </c>
      <c r="L181" s="262">
        <f>SUM(L161:L180)/D182</f>
        <v>1557.6250416897403</v>
      </c>
      <c r="M181" s="261">
        <f>SUM(M161:M180)/D182</f>
        <v>1575.5131105268597</v>
      </c>
      <c r="N181" s="261">
        <f>SUM(N161:N180)/D182</f>
        <v>2060.108051776576</v>
      </c>
      <c r="O181" s="219">
        <f>SUM(O161:O180)/D182</f>
        <v>0.018273040176896235</v>
      </c>
      <c r="P181" s="218">
        <f>SUM(P161:P180)/D182</f>
        <v>0.011592503496494665</v>
      </c>
      <c r="Q181" s="218">
        <f>SUM(Q161:Q180)/D182</f>
        <v>0.008330623488260653</v>
      </c>
      <c r="R181" s="218">
        <f>SUM(R161:R180)/D182</f>
        <v>0.009664811993578177</v>
      </c>
      <c r="S181" s="221"/>
      <c r="T181" s="221"/>
      <c r="AC181" s="314" t="s">
        <v>9</v>
      </c>
      <c r="AD181" s="340">
        <f t="shared" si="214"/>
        <v>6000</v>
      </c>
      <c r="AE181" s="341">
        <f t="shared" si="215"/>
        <v>15000</v>
      </c>
      <c r="AF181" s="341">
        <f t="shared" si="216"/>
        <v>30000</v>
      </c>
      <c r="AG181" s="341">
        <f t="shared" si="217"/>
        <v>10357.8</v>
      </c>
      <c r="AH181" s="252">
        <f t="shared" si="218"/>
        <v>11508.666666666666</v>
      </c>
      <c r="AI181" s="256">
        <f t="shared" si="219"/>
        <v>13548.444234614528</v>
      </c>
    </row>
    <row r="182" spans="1:35" ht="15.75">
      <c r="A182" s="214"/>
      <c r="B182" s="260"/>
      <c r="C182" s="265" t="s">
        <v>198</v>
      </c>
      <c r="D182" s="266">
        <v>20</v>
      </c>
      <c r="E182" s="229"/>
      <c r="F182" s="229"/>
      <c r="G182" s="229"/>
      <c r="H182" s="229"/>
      <c r="I182" s="344"/>
      <c r="J182" s="344"/>
      <c r="L182" s="344"/>
      <c r="M182" s="344"/>
      <c r="O182" s="221" t="s">
        <v>239</v>
      </c>
      <c r="P182" s="221">
        <f>AVERAGE(P165,P171,P176)</f>
        <v>0.004819407998010773</v>
      </c>
      <c r="AC182" s="314" t="s">
        <v>10</v>
      </c>
      <c r="AD182" s="340">
        <f t="shared" si="214"/>
        <v>3600</v>
      </c>
      <c r="AE182" s="341">
        <f t="shared" si="215"/>
        <v>7800</v>
      </c>
      <c r="AF182" s="341">
        <f t="shared" si="216"/>
        <v>12800</v>
      </c>
      <c r="AG182" s="341">
        <f t="shared" si="217"/>
        <v>4930</v>
      </c>
      <c r="AH182" s="252">
        <f t="shared" si="218"/>
        <v>4087.893864013267</v>
      </c>
      <c r="AI182" s="256">
        <f t="shared" si="219"/>
        <v>4556.752619804545</v>
      </c>
    </row>
    <row r="183" spans="1:35" ht="15.75">
      <c r="A183" s="216"/>
      <c r="B183" s="216"/>
      <c r="C183" s="229"/>
      <c r="D183" s="229"/>
      <c r="E183" s="229"/>
      <c r="F183" s="229"/>
      <c r="G183" s="229"/>
      <c r="H183" s="229"/>
      <c r="I183" s="344"/>
      <c r="J183" s="278" t="s">
        <v>211</v>
      </c>
      <c r="K183" s="267">
        <v>23550</v>
      </c>
      <c r="L183" s="344"/>
      <c r="M183" s="344"/>
      <c r="O183" s="294" t="s">
        <v>204</v>
      </c>
      <c r="P183" s="327">
        <f>AVERAGE(P163,P170,P174,P177,P178)</f>
        <v>0.02189619264666431</v>
      </c>
      <c r="Q183" s="221"/>
      <c r="R183" s="221"/>
      <c r="AC183" s="279" t="s">
        <v>27</v>
      </c>
      <c r="AD183" s="262">
        <f>SUM(AD163:AD182)/AD184</f>
        <v>3763.65</v>
      </c>
      <c r="AE183" s="261">
        <f>SUM(AE163:AE182)/AD184</f>
        <v>8441.925</v>
      </c>
      <c r="AF183" s="261">
        <f>SUM(AF163:AF182)/AD184</f>
        <v>16103.65</v>
      </c>
      <c r="AG183" s="261">
        <f>SUM(AG163:AG182)/AD184</f>
        <v>5536.404575621385</v>
      </c>
      <c r="AH183" s="262">
        <f>SUM(AH163:AH182)/AD184</f>
        <v>5912.099261686126</v>
      </c>
      <c r="AI183" s="264">
        <f>SUM(AI163:AI182)/AD184</f>
        <v>8106.474780204585</v>
      </c>
    </row>
    <row r="184" spans="10:30" ht="12.75">
      <c r="J184" s="300"/>
      <c r="O184" s="294" t="s">
        <v>205</v>
      </c>
      <c r="P184" s="327">
        <f>AVERAGE(P161,P162,P164:P169,P171,P172,P173,P175,P176,P179,P180)</f>
        <v>0.008157940446438118</v>
      </c>
      <c r="AC184" s="299" t="s">
        <v>197</v>
      </c>
      <c r="AD184" s="267">
        <v>20</v>
      </c>
    </row>
    <row r="185" spans="1:10" ht="12.75">
      <c r="A185" s="280"/>
      <c r="B185" s="280"/>
      <c r="C185" s="280" t="s">
        <v>104</v>
      </c>
      <c r="J185" s="300"/>
    </row>
    <row r="186" spans="1:20" s="357" customFormat="1" ht="12.75">
      <c r="A186" s="295"/>
      <c r="B186" s="296"/>
      <c r="C186" s="296"/>
      <c r="D186" s="242"/>
      <c r="E186" s="172" t="s">
        <v>106</v>
      </c>
      <c r="F186" s="296"/>
      <c r="G186" s="332" t="s">
        <v>58</v>
      </c>
      <c r="H186" s="333" t="s">
        <v>67</v>
      </c>
      <c r="I186" s="171" t="s">
        <v>156</v>
      </c>
      <c r="J186" s="172" t="s">
        <v>69</v>
      </c>
      <c r="K186" s="178" t="s">
        <v>111</v>
      </c>
      <c r="L186" s="243"/>
      <c r="M186" s="171" t="s">
        <v>181</v>
      </c>
      <c r="N186" s="356"/>
      <c r="O186" s="171"/>
      <c r="P186" s="172" t="s">
        <v>70</v>
      </c>
      <c r="Q186" s="172"/>
      <c r="R186" s="178"/>
      <c r="S186" s="419" t="s">
        <v>236</v>
      </c>
      <c r="T186" s="422" t="s">
        <v>237</v>
      </c>
    </row>
    <row r="187" spans="1:20" s="357" customFormat="1" ht="12.75">
      <c r="A187" s="358"/>
      <c r="B187" s="359"/>
      <c r="C187" s="360" t="s">
        <v>105</v>
      </c>
      <c r="D187" s="361">
        <v>100000</v>
      </c>
      <c r="E187" s="362">
        <v>250000</v>
      </c>
      <c r="F187" s="362">
        <v>500000</v>
      </c>
      <c r="G187" s="363" t="s">
        <v>182</v>
      </c>
      <c r="H187" s="364" t="s">
        <v>110</v>
      </c>
      <c r="I187" s="244" t="s">
        <v>73</v>
      </c>
      <c r="J187" s="24" t="s">
        <v>93</v>
      </c>
      <c r="K187" s="281" t="s">
        <v>112</v>
      </c>
      <c r="L187" s="282" t="s">
        <v>234</v>
      </c>
      <c r="M187" s="228" t="s">
        <v>180</v>
      </c>
      <c r="N187" s="365" t="s">
        <v>235</v>
      </c>
      <c r="O187" s="294"/>
      <c r="P187" s="303" t="s">
        <v>210</v>
      </c>
      <c r="Q187" s="294"/>
      <c r="R187" s="270"/>
      <c r="S187" s="420"/>
      <c r="T187" s="423"/>
    </row>
    <row r="188" spans="1:20" s="357" customFormat="1" ht="12.75">
      <c r="A188" s="174"/>
      <c r="B188" s="175"/>
      <c r="C188" s="62"/>
      <c r="D188" s="61"/>
      <c r="E188" s="328"/>
      <c r="F188" s="62"/>
      <c r="G188" s="248" t="s">
        <v>74</v>
      </c>
      <c r="H188" s="249" t="s">
        <v>215</v>
      </c>
      <c r="I188" s="61">
        <v>2005</v>
      </c>
      <c r="J188" s="62"/>
      <c r="K188" s="338"/>
      <c r="L188" s="248"/>
      <c r="M188" s="283"/>
      <c r="N188" s="338"/>
      <c r="O188" s="334">
        <v>100000</v>
      </c>
      <c r="P188" s="335">
        <v>250000</v>
      </c>
      <c r="Q188" s="335">
        <v>500000</v>
      </c>
      <c r="R188" s="284" t="s">
        <v>242</v>
      </c>
      <c r="S188" s="421"/>
      <c r="T188" s="424"/>
    </row>
    <row r="189" spans="1:20" ht="12.75">
      <c r="A189" s="366"/>
      <c r="B189" s="360"/>
      <c r="C189" s="367" t="s">
        <v>232</v>
      </c>
      <c r="D189" s="368">
        <f aca="true" t="shared" si="224" ref="D189:P189">SUM(D164+D166+D180)/3</f>
        <v>981</v>
      </c>
      <c r="E189" s="369">
        <f t="shared" si="224"/>
        <v>981</v>
      </c>
      <c r="F189" s="370">
        <f t="shared" si="224"/>
        <v>981</v>
      </c>
      <c r="G189" s="368">
        <f t="shared" si="224"/>
        <v>164332.83333333334</v>
      </c>
      <c r="H189" s="370">
        <f t="shared" si="224"/>
        <v>981</v>
      </c>
      <c r="I189" s="371">
        <f t="shared" si="224"/>
        <v>1.2613333333333334</v>
      </c>
      <c r="J189" s="372">
        <f t="shared" si="224"/>
        <v>1.212</v>
      </c>
      <c r="K189" s="370">
        <f t="shared" si="224"/>
        <v>27229</v>
      </c>
      <c r="L189" s="368">
        <f t="shared" si="224"/>
        <v>763.6757396745693</v>
      </c>
      <c r="M189" s="369">
        <f t="shared" si="224"/>
        <v>797.0141709050304</v>
      </c>
      <c r="N189" s="370">
        <f t="shared" si="224"/>
        <v>826.6486428866701</v>
      </c>
      <c r="O189" s="373">
        <f>SUM(O164+O166+O180)/3</f>
        <v>0.0082664864288667</v>
      </c>
      <c r="P189" s="47">
        <f t="shared" si="224"/>
        <v>0.003306594571546681</v>
      </c>
      <c r="Q189" s="47">
        <f>SUM(Q164+Q166+Q180)/3</f>
        <v>0.0016532972857733405</v>
      </c>
      <c r="R189" s="374">
        <f>SUM(R164+R166+R180)/3</f>
        <v>0.005909282439103204</v>
      </c>
      <c r="S189" s="375">
        <f>SUM(S164+S166+S180)/3</f>
        <v>0.004664978630019175</v>
      </c>
      <c r="T189" s="375">
        <f>SUM(T164+T166+T180)/3</f>
        <v>0.005120105173907106</v>
      </c>
    </row>
    <row r="190" spans="1:20" ht="12.75">
      <c r="A190" s="376"/>
      <c r="B190" s="306"/>
      <c r="C190" s="341" t="s">
        <v>102</v>
      </c>
      <c r="D190" s="340">
        <f aca="true" t="shared" si="225" ref="D190:R190">SUM(D163+D165+D171+D176+D177)/5</f>
        <v>953.5799999999999</v>
      </c>
      <c r="E190" s="341">
        <f t="shared" si="225"/>
        <v>1270.06</v>
      </c>
      <c r="F190" s="339">
        <f t="shared" si="225"/>
        <v>1859.52</v>
      </c>
      <c r="G190" s="340">
        <f t="shared" si="225"/>
        <v>198984</v>
      </c>
      <c r="H190" s="340">
        <f t="shared" si="225"/>
        <v>1346.6556186666667</v>
      </c>
      <c r="I190" s="310">
        <f t="shared" si="225"/>
        <v>0.8972</v>
      </c>
      <c r="J190" s="311">
        <f t="shared" si="225"/>
        <v>0.9336</v>
      </c>
      <c r="K190" s="341">
        <f t="shared" si="225"/>
        <v>22478.2</v>
      </c>
      <c r="L190" s="340">
        <f t="shared" si="225"/>
        <v>1412.2107951997045</v>
      </c>
      <c r="M190" s="341">
        <f t="shared" si="225"/>
        <v>1344.3842873196195</v>
      </c>
      <c r="N190" s="339">
        <f t="shared" si="225"/>
        <v>1688.1126341883914</v>
      </c>
      <c r="O190" s="204">
        <f t="shared" si="225"/>
        <v>0.014043256960322329</v>
      </c>
      <c r="P190" s="49">
        <f t="shared" si="225"/>
        <v>0.00652750389405223</v>
      </c>
      <c r="Q190" s="49">
        <f t="shared" si="225"/>
        <v>0.004113134664643548</v>
      </c>
      <c r="R190" s="310">
        <f t="shared" si="225"/>
        <v>0.006764416161688611</v>
      </c>
      <c r="S190" s="311">
        <f>SUM(S163+S165+S171+S176+S177)/5</f>
        <v>0.008197932893847256</v>
      </c>
      <c r="T190" s="311">
        <f>SUM(T163+T165+T171+T176+T177)/5</f>
        <v>0.01209326560174416</v>
      </c>
    </row>
    <row r="191" spans="1:20" ht="12.75">
      <c r="A191" s="376"/>
      <c r="B191" s="306"/>
      <c r="C191" s="341" t="s">
        <v>6</v>
      </c>
      <c r="D191" s="340">
        <f aca="true" t="shared" si="226" ref="D191:R191">D173</f>
        <v>1055.8</v>
      </c>
      <c r="E191" s="341">
        <f t="shared" si="226"/>
        <v>1152.9</v>
      </c>
      <c r="F191" s="339">
        <f t="shared" si="226"/>
        <v>1849.1</v>
      </c>
      <c r="G191" s="340">
        <f t="shared" si="226"/>
        <v>202000</v>
      </c>
      <c r="H191" s="339">
        <f t="shared" si="226"/>
        <v>1121.828</v>
      </c>
      <c r="I191" s="310">
        <f t="shared" si="226"/>
        <v>1.052</v>
      </c>
      <c r="J191" s="311">
        <f t="shared" si="226"/>
        <v>1.064</v>
      </c>
      <c r="K191" s="339">
        <f t="shared" si="226"/>
        <v>29554</v>
      </c>
      <c r="L191" s="340">
        <f t="shared" si="226"/>
        <v>1066.3764258555132</v>
      </c>
      <c r="M191" s="341">
        <f t="shared" si="226"/>
        <v>1054.3496240601503</v>
      </c>
      <c r="N191" s="339">
        <f t="shared" si="226"/>
        <v>893.9246599445083</v>
      </c>
      <c r="O191" s="204">
        <f t="shared" si="226"/>
        <v>0.00841310482506598</v>
      </c>
      <c r="P191" s="49">
        <f t="shared" si="226"/>
        <v>0.0036747370914258647</v>
      </c>
      <c r="Q191" s="49">
        <f t="shared" si="226"/>
        <v>0.0029468975434797317</v>
      </c>
      <c r="R191" s="310">
        <f t="shared" si="226"/>
        <v>0.0055536039603960394</v>
      </c>
      <c r="S191" s="312">
        <f>S173</f>
        <v>0.005279091217106501</v>
      </c>
      <c r="T191" s="312">
        <f>T173</f>
        <v>0.004425369603685685</v>
      </c>
    </row>
    <row r="192" spans="1:20" ht="12.75">
      <c r="A192" s="377"/>
      <c r="B192" s="306"/>
      <c r="C192" s="341" t="s">
        <v>103</v>
      </c>
      <c r="D192" s="378">
        <f aca="true" t="shared" si="227" ref="D192:R192">SUM(D161+D162+D167+D168+D172+D174+D175+D178+D179)/9</f>
        <v>1194.9732222222221</v>
      </c>
      <c r="E192" s="379">
        <f t="shared" si="227"/>
        <v>1897.479222222222</v>
      </c>
      <c r="F192" s="380">
        <f t="shared" si="227"/>
        <v>2719.5305555555556</v>
      </c>
      <c r="G192" s="378">
        <f t="shared" si="227"/>
        <v>141850.4903726802</v>
      </c>
      <c r="H192" s="379">
        <f t="shared" si="227"/>
        <v>1463.9848122101826</v>
      </c>
      <c r="I192" s="381">
        <f t="shared" si="227"/>
        <v>0.9262222222222223</v>
      </c>
      <c r="J192" s="382">
        <f t="shared" si="227"/>
        <v>0.8996666666666666</v>
      </c>
      <c r="K192" s="380">
        <f t="shared" si="227"/>
        <v>19680.666666666668</v>
      </c>
      <c r="L192" s="378">
        <f t="shared" si="227"/>
        <v>1514.677361045168</v>
      </c>
      <c r="M192" s="379">
        <f t="shared" si="227"/>
        <v>1553.3390337152507</v>
      </c>
      <c r="N192" s="380">
        <f t="shared" si="227"/>
        <v>1904.3579343284591</v>
      </c>
      <c r="O192" s="383">
        <f t="shared" si="227"/>
        <v>0.016512795259028226</v>
      </c>
      <c r="P192" s="384">
        <f t="shared" si="227"/>
        <v>0.010810250040301969</v>
      </c>
      <c r="Q192" s="384">
        <f t="shared" si="227"/>
        <v>0.00753122172145569</v>
      </c>
      <c r="R192" s="381">
        <f t="shared" si="227"/>
        <v>0.009921924796670027</v>
      </c>
      <c r="S192" s="385">
        <f>SUM(S161+S162+S167+S168+S172+S174+S175+S178+S179)/9</f>
        <v>0.010593841740443033</v>
      </c>
      <c r="T192" s="385">
        <f>SUM(T161+T162+T167+T168+T172+T174+T175+T178+T179)/9</f>
        <v>0.014489885811603721</v>
      </c>
    </row>
    <row r="193" spans="1:20" ht="15.75">
      <c r="A193" s="285"/>
      <c r="B193" s="286"/>
      <c r="C193" s="287" t="s">
        <v>155</v>
      </c>
      <c r="D193" s="262">
        <f>D181</f>
        <v>1221.97295</v>
      </c>
      <c r="E193" s="261">
        <f>E181</f>
        <v>1864.1256500000004</v>
      </c>
      <c r="F193" s="261">
        <f>F181</f>
        <v>2760.0237500000003</v>
      </c>
      <c r="G193" s="262">
        <f>G181</f>
        <v>159828.6456677061</v>
      </c>
      <c r="H193" s="261">
        <f>H181</f>
        <v>1477.5984701612492</v>
      </c>
      <c r="I193" s="342"/>
      <c r="J193" s="343"/>
      <c r="K193" s="318"/>
      <c r="L193" s="262">
        <f aca="true" t="shared" si="228" ref="L193:R193">L181</f>
        <v>1557.6250416897403</v>
      </c>
      <c r="M193" s="261">
        <f t="shared" si="228"/>
        <v>1575.5131105268597</v>
      </c>
      <c r="N193" s="264">
        <f t="shared" si="228"/>
        <v>2060.108051776576</v>
      </c>
      <c r="O193" s="219">
        <f t="shared" si="228"/>
        <v>0.018273040176896235</v>
      </c>
      <c r="P193" s="218">
        <f t="shared" si="228"/>
        <v>0.011592503496494665</v>
      </c>
      <c r="Q193" s="218">
        <f t="shared" si="228"/>
        <v>0.008330623488260653</v>
      </c>
      <c r="R193" s="220">
        <f t="shared" si="228"/>
        <v>0.009664811993578177</v>
      </c>
      <c r="S193" s="221"/>
      <c r="T193" s="221"/>
    </row>
    <row r="194" spans="1:8" ht="15.75">
      <c r="A194" s="285"/>
      <c r="B194" s="286"/>
      <c r="C194" s="287" t="s">
        <v>231</v>
      </c>
      <c r="D194" s="262">
        <f>D182+AVERAGE(D161:D168,D171:D180)</f>
        <v>1104.5255</v>
      </c>
      <c r="E194" s="262">
        <f>E182+AVERAGE(E161:E168,E171:E180)</f>
        <v>1529.0840555555556</v>
      </c>
      <c r="F194" s="262">
        <f>F182+AVERAGE(F161:F168,F171:F180)</f>
        <v>2142.5263888888894</v>
      </c>
      <c r="G194" s="262">
        <f>G182+AVERAGE(G161:G168,G171:G180)</f>
        <v>164809.6062974512</v>
      </c>
      <c r="H194" s="262">
        <f>H182+AVERAGE(H161:H168,H171:H180)</f>
        <v>1331.8871890680546</v>
      </c>
    </row>
    <row r="195" spans="1:2" ht="12.75">
      <c r="A195" s="300"/>
      <c r="B195" s="300"/>
    </row>
    <row r="198" spans="1:3" ht="12.75">
      <c r="A198" s="294" t="s">
        <v>75</v>
      </c>
      <c r="C198" s="241" t="s">
        <v>60</v>
      </c>
    </row>
    <row r="199" ht="12.75">
      <c r="A199" s="294" t="s">
        <v>76</v>
      </c>
    </row>
    <row r="200" spans="3:41" ht="12.75">
      <c r="C200" s="294" t="s">
        <v>115</v>
      </c>
      <c r="AC200" s="188" t="s">
        <v>167</v>
      </c>
      <c r="AL200" s="188" t="s">
        <v>171</v>
      </c>
      <c r="AO200" s="188"/>
    </row>
    <row r="201" spans="1:3" ht="12.75">
      <c r="A201" s="294" t="s">
        <v>121</v>
      </c>
      <c r="C201" s="294" t="s">
        <v>77</v>
      </c>
    </row>
    <row r="202" spans="3:32" ht="12.75">
      <c r="C202" s="294" t="s">
        <v>78</v>
      </c>
      <c r="AF202" s="188"/>
    </row>
    <row r="203" spans="1:44" ht="12.75">
      <c r="A203" s="294" t="s">
        <v>152</v>
      </c>
      <c r="AB203" s="295"/>
      <c r="AC203" s="243"/>
      <c r="AD203" s="288" t="s">
        <v>168</v>
      </c>
      <c r="AE203" s="296"/>
      <c r="AF203" s="333"/>
      <c r="AG203" s="243"/>
      <c r="AH203" s="171" t="s">
        <v>169</v>
      </c>
      <c r="AI203" s="298"/>
      <c r="AK203" s="295"/>
      <c r="AL203" s="243"/>
      <c r="AM203" s="288" t="s">
        <v>170</v>
      </c>
      <c r="AN203" s="296"/>
      <c r="AO203" s="333"/>
      <c r="AP203" s="243"/>
      <c r="AQ203" s="171" t="s">
        <v>163</v>
      </c>
      <c r="AR203" s="298"/>
    </row>
    <row r="204" spans="1:44" ht="12.75">
      <c r="A204" s="294" t="s">
        <v>79</v>
      </c>
      <c r="C204" s="294" t="s">
        <v>200</v>
      </c>
      <c r="AB204" s="299"/>
      <c r="AC204" s="334">
        <v>100000</v>
      </c>
      <c r="AD204" s="335">
        <v>250000</v>
      </c>
      <c r="AE204" s="335">
        <v>500000</v>
      </c>
      <c r="AF204" s="337" t="s">
        <v>27</v>
      </c>
      <c r="AG204" s="245" t="s">
        <v>94</v>
      </c>
      <c r="AH204" s="246" t="s">
        <v>95</v>
      </c>
      <c r="AI204" s="304" t="s">
        <v>111</v>
      </c>
      <c r="AK204" s="299"/>
      <c r="AL204" s="334">
        <v>100000</v>
      </c>
      <c r="AM204" s="335">
        <v>250000</v>
      </c>
      <c r="AN204" s="335">
        <v>500000</v>
      </c>
      <c r="AO204" s="337" t="s">
        <v>27</v>
      </c>
      <c r="AP204" s="245" t="s">
        <v>94</v>
      </c>
      <c r="AQ204" s="246" t="s">
        <v>95</v>
      </c>
      <c r="AR204" s="304" t="s">
        <v>111</v>
      </c>
    </row>
    <row r="205" spans="28:44" ht="12.75">
      <c r="AB205" s="174" t="s">
        <v>11</v>
      </c>
      <c r="AC205" s="61"/>
      <c r="AD205" s="328"/>
      <c r="AE205" s="62"/>
      <c r="AF205" s="249" t="s">
        <v>94</v>
      </c>
      <c r="AG205" s="248" t="s">
        <v>73</v>
      </c>
      <c r="AH205" s="249" t="s">
        <v>96</v>
      </c>
      <c r="AI205" s="338" t="s">
        <v>112</v>
      </c>
      <c r="AK205" s="174" t="s">
        <v>11</v>
      </c>
      <c r="AL205" s="61"/>
      <c r="AM205" s="328"/>
      <c r="AN205" s="62"/>
      <c r="AO205" s="249" t="s">
        <v>94</v>
      </c>
      <c r="AP205" s="248" t="s">
        <v>73</v>
      </c>
      <c r="AQ205" s="249" t="s">
        <v>96</v>
      </c>
      <c r="AR205" s="338" t="s">
        <v>112</v>
      </c>
    </row>
    <row r="206" spans="1:44" ht="12.75">
      <c r="A206" s="294" t="s">
        <v>80</v>
      </c>
      <c r="C206" s="294" t="s">
        <v>81</v>
      </c>
      <c r="AB206" s="173" t="s">
        <v>12</v>
      </c>
      <c r="AC206" s="252">
        <f aca="true" t="shared" si="229" ref="AC206:AC225">H7</f>
        <v>3500.0000000000005</v>
      </c>
      <c r="AD206" s="162">
        <f aca="true" t="shared" si="230" ref="AD206:AD225">H34</f>
        <v>8750</v>
      </c>
      <c r="AE206" s="162">
        <f aca="true" t="shared" si="231" ref="AE206:AE225">H68</f>
        <v>17500</v>
      </c>
      <c r="AF206" s="162">
        <f aca="true" t="shared" si="232" ref="AF206:AF225">H97</f>
        <v>5250.000000000001</v>
      </c>
      <c r="AG206" s="252">
        <f aca="true" t="shared" si="233" ref="AG206:AG225">AF206/I161</f>
        <v>5102.040816326532</v>
      </c>
      <c r="AH206" s="162">
        <f aca="true" t="shared" si="234" ref="AH206:AH225">AF206/J161</f>
        <v>5062.680810028931</v>
      </c>
      <c r="AI206" s="339">
        <f aca="true" t="shared" si="235" ref="AI206:AI225">AF206*22827/K161</f>
        <v>4278.687207683245</v>
      </c>
      <c r="AK206" s="173" t="s">
        <v>12</v>
      </c>
      <c r="AL206" s="252">
        <f aca="true" t="shared" si="236" ref="AL206:AL225">G7</f>
        <v>1840</v>
      </c>
      <c r="AM206" s="162">
        <f aca="true" t="shared" si="237" ref="AM206:AM225">G34</f>
        <v>4600</v>
      </c>
      <c r="AN206" s="162">
        <f aca="true" t="shared" si="238" ref="AN206:AN225">G68</f>
        <v>9200</v>
      </c>
      <c r="AO206" s="162">
        <f aca="true" t="shared" si="239" ref="AO206:AO225">G97</f>
        <v>2760</v>
      </c>
      <c r="AP206" s="252">
        <f aca="true" t="shared" si="240" ref="AP206:AP225">AO206/I161</f>
        <v>2682.2157434402334</v>
      </c>
      <c r="AQ206" s="162">
        <f aca="true" t="shared" si="241" ref="AQ206:AQ225">AO206/J161</f>
        <v>2661.5236258437803</v>
      </c>
      <c r="AR206" s="339">
        <f aca="true" t="shared" si="242" ref="AR206:AR225">AO206*22827/K161</f>
        <v>2249.3669891820487</v>
      </c>
    </row>
    <row r="207" spans="3:44" ht="12.75">
      <c r="C207" s="191" t="s">
        <v>192</v>
      </c>
      <c r="AB207" s="173" t="s">
        <v>13</v>
      </c>
      <c r="AC207" s="252">
        <f t="shared" si="229"/>
        <v>12270</v>
      </c>
      <c r="AD207" s="162">
        <f t="shared" si="230"/>
        <v>30675</v>
      </c>
      <c r="AE207" s="162">
        <f t="shared" si="231"/>
        <v>61350</v>
      </c>
      <c r="AF207" s="162">
        <f t="shared" si="232"/>
        <v>21042</v>
      </c>
      <c r="AG207" s="252">
        <f t="shared" si="233"/>
        <v>20174.496644295305</v>
      </c>
      <c r="AH207" s="162">
        <f t="shared" si="234"/>
        <v>20369.796708615682</v>
      </c>
      <c r="AI207" s="339">
        <f t="shared" si="235"/>
        <v>16958.259214800168</v>
      </c>
      <c r="AK207" s="173" t="s">
        <v>13</v>
      </c>
      <c r="AL207" s="252">
        <f t="shared" si="236"/>
        <v>505</v>
      </c>
      <c r="AM207" s="162">
        <f t="shared" si="237"/>
        <v>1140</v>
      </c>
      <c r="AN207" s="162">
        <f t="shared" si="238"/>
        <v>2000</v>
      </c>
      <c r="AO207" s="162">
        <f t="shared" si="239"/>
        <v>788.6333333333333</v>
      </c>
      <c r="AP207" s="252">
        <f t="shared" si="240"/>
        <v>756.1201661872803</v>
      </c>
      <c r="AQ207" s="162">
        <f t="shared" si="241"/>
        <v>763.4398192965473</v>
      </c>
      <c r="AR207" s="339">
        <f t="shared" si="242"/>
        <v>635.5787706538625</v>
      </c>
    </row>
    <row r="208" spans="3:44" ht="12.75">
      <c r="C208" s="191" t="s">
        <v>190</v>
      </c>
      <c r="D208" s="386" t="s">
        <v>191</v>
      </c>
      <c r="E208" s="387"/>
      <c r="F208" s="387"/>
      <c r="G208" s="387"/>
      <c r="H208" s="387"/>
      <c r="I208" s="387"/>
      <c r="J208" s="387"/>
      <c r="K208" s="387"/>
      <c r="L208" s="387"/>
      <c r="M208" s="387"/>
      <c r="N208" s="387"/>
      <c r="O208" s="387"/>
      <c r="P208" s="387"/>
      <c r="Q208" s="387"/>
      <c r="R208" s="387"/>
      <c r="S208" s="387"/>
      <c r="T208" s="387"/>
      <c r="U208" s="387"/>
      <c r="V208" s="387"/>
      <c r="W208" s="387"/>
      <c r="X208" s="387"/>
      <c r="Y208" s="387"/>
      <c r="Z208" s="387"/>
      <c r="AA208" s="387"/>
      <c r="AB208" s="388" t="s">
        <v>154</v>
      </c>
      <c r="AC208" s="389">
        <f t="shared" si="229"/>
        <v>0</v>
      </c>
      <c r="AD208" s="390">
        <f t="shared" si="230"/>
        <v>0</v>
      </c>
      <c r="AE208" s="390">
        <f t="shared" si="231"/>
        <v>0</v>
      </c>
      <c r="AF208" s="390">
        <f t="shared" si="232"/>
        <v>0</v>
      </c>
      <c r="AG208" s="252">
        <f t="shared" si="233"/>
        <v>0</v>
      </c>
      <c r="AH208" s="162">
        <f t="shared" si="234"/>
        <v>0</v>
      </c>
      <c r="AI208" s="339">
        <f t="shared" si="235"/>
        <v>0</v>
      </c>
      <c r="AK208" s="299" t="s">
        <v>154</v>
      </c>
      <c r="AL208" s="340">
        <f t="shared" si="236"/>
        <v>17</v>
      </c>
      <c r="AM208" s="341">
        <f t="shared" si="237"/>
        <v>17</v>
      </c>
      <c r="AN208" s="341">
        <f t="shared" si="238"/>
        <v>17</v>
      </c>
      <c r="AO208" s="341">
        <f t="shared" si="239"/>
        <v>17</v>
      </c>
      <c r="AP208" s="252">
        <f t="shared" si="240"/>
        <v>29.411764705882355</v>
      </c>
      <c r="AQ208" s="162">
        <f t="shared" si="241"/>
        <v>23.035230352303522</v>
      </c>
      <c r="AR208" s="339">
        <f t="shared" si="242"/>
        <v>52.8906910181273</v>
      </c>
    </row>
    <row r="209" spans="3:44" ht="12.75">
      <c r="C209" s="191" t="s">
        <v>195</v>
      </c>
      <c r="D209" s="386"/>
      <c r="E209" s="387"/>
      <c r="F209" s="387"/>
      <c r="G209" s="387"/>
      <c r="H209" s="387"/>
      <c r="I209" s="387"/>
      <c r="J209" s="387"/>
      <c r="K209" s="387"/>
      <c r="L209" s="387"/>
      <c r="M209" s="387"/>
      <c r="N209" s="387"/>
      <c r="O209" s="387"/>
      <c r="P209" s="387"/>
      <c r="Q209" s="387"/>
      <c r="R209" s="387"/>
      <c r="S209" s="387"/>
      <c r="T209" s="387"/>
      <c r="U209" s="387"/>
      <c r="V209" s="387"/>
      <c r="W209" s="387"/>
      <c r="X209" s="387"/>
      <c r="Y209" s="387"/>
      <c r="Z209" s="387"/>
      <c r="AA209" s="391"/>
      <c r="AB209" s="388" t="s">
        <v>14</v>
      </c>
      <c r="AC209" s="389">
        <f t="shared" si="229"/>
        <v>0</v>
      </c>
      <c r="AD209" s="390">
        <f t="shared" si="230"/>
        <v>0</v>
      </c>
      <c r="AE209" s="392">
        <f t="shared" si="231"/>
        <v>0</v>
      </c>
      <c r="AF209" s="390">
        <f t="shared" si="232"/>
        <v>0</v>
      </c>
      <c r="AG209" s="252">
        <f t="shared" si="233"/>
        <v>0</v>
      </c>
      <c r="AH209" s="162">
        <f t="shared" si="234"/>
        <v>0</v>
      </c>
      <c r="AI209" s="339">
        <f t="shared" si="235"/>
        <v>0</v>
      </c>
      <c r="AK209" s="299" t="s">
        <v>14</v>
      </c>
      <c r="AL209" s="340">
        <f t="shared" si="236"/>
        <v>1967.8999999999999</v>
      </c>
      <c r="AM209" s="341">
        <f t="shared" si="237"/>
        <v>4442.9</v>
      </c>
      <c r="AN209" s="339">
        <f t="shared" si="238"/>
        <v>8567.9</v>
      </c>
      <c r="AO209" s="341">
        <f t="shared" si="239"/>
        <v>3976.6512500000003</v>
      </c>
      <c r="AP209" s="252">
        <f t="shared" si="240"/>
        <v>2928.314617083947</v>
      </c>
      <c r="AQ209" s="162">
        <f t="shared" si="241"/>
        <v>3010.3340272520823</v>
      </c>
      <c r="AR209" s="339">
        <f t="shared" si="242"/>
        <v>2909.2692161960777</v>
      </c>
    </row>
    <row r="210" spans="1:44" ht="12.75">
      <c r="A210" s="294" t="s">
        <v>85</v>
      </c>
      <c r="C210" s="393" t="s">
        <v>86</v>
      </c>
      <c r="AB210" s="299" t="s">
        <v>0</v>
      </c>
      <c r="AC210" s="340">
        <f t="shared" si="229"/>
        <v>0</v>
      </c>
      <c r="AD210" s="341">
        <f t="shared" si="230"/>
        <v>2520</v>
      </c>
      <c r="AE210" s="341">
        <f t="shared" si="231"/>
        <v>15075</v>
      </c>
      <c r="AF210" s="341">
        <f t="shared" si="232"/>
        <v>4918.005</v>
      </c>
      <c r="AG210" s="252">
        <f t="shared" si="233"/>
        <v>4688.279313632031</v>
      </c>
      <c r="AH210" s="162">
        <f t="shared" si="234"/>
        <v>4520.225183823529</v>
      </c>
      <c r="AI210" s="339">
        <f t="shared" si="235"/>
        <v>3332.4418230527194</v>
      </c>
      <c r="AK210" s="299" t="s">
        <v>0</v>
      </c>
      <c r="AL210" s="340">
        <f t="shared" si="236"/>
        <v>90</v>
      </c>
      <c r="AM210" s="341">
        <f t="shared" si="237"/>
        <v>225</v>
      </c>
      <c r="AN210" s="341">
        <f t="shared" si="238"/>
        <v>330</v>
      </c>
      <c r="AO210" s="341">
        <f t="shared" si="239"/>
        <v>245.055</v>
      </c>
      <c r="AP210" s="252">
        <f t="shared" si="240"/>
        <v>233.6081982840801</v>
      </c>
      <c r="AQ210" s="162">
        <f t="shared" si="241"/>
        <v>225.234375</v>
      </c>
      <c r="AR210" s="339">
        <f t="shared" si="242"/>
        <v>166.04934947162195</v>
      </c>
    </row>
    <row r="211" spans="3:44" ht="15.75">
      <c r="C211" s="393" t="s">
        <v>247</v>
      </c>
      <c r="AB211" s="299" t="s">
        <v>1</v>
      </c>
      <c r="AC211" s="340">
        <f t="shared" si="229"/>
        <v>4000</v>
      </c>
      <c r="AD211" s="341">
        <f t="shared" si="230"/>
        <v>10000</v>
      </c>
      <c r="AE211" s="341">
        <f t="shared" si="231"/>
        <v>20000</v>
      </c>
      <c r="AF211" s="341">
        <f t="shared" si="232"/>
        <v>4950.24</v>
      </c>
      <c r="AG211" s="252">
        <f t="shared" si="233"/>
        <v>4057.5737704918033</v>
      </c>
      <c r="AH211" s="162">
        <f t="shared" si="234"/>
        <v>4388.510638297873</v>
      </c>
      <c r="AI211" s="339">
        <f t="shared" si="235"/>
        <v>4518.880607854115</v>
      </c>
      <c r="AJ211" s="300"/>
      <c r="AK211" s="299" t="s">
        <v>1</v>
      </c>
      <c r="AL211" s="340">
        <f t="shared" si="236"/>
        <v>95.8</v>
      </c>
      <c r="AM211" s="341">
        <f t="shared" si="237"/>
        <v>95.8</v>
      </c>
      <c r="AN211" s="341">
        <f t="shared" si="238"/>
        <v>95.8</v>
      </c>
      <c r="AO211" s="341">
        <f t="shared" si="239"/>
        <v>95.8</v>
      </c>
      <c r="AP211" s="252">
        <f t="shared" si="240"/>
        <v>78.52459016393442</v>
      </c>
      <c r="AQ211" s="162">
        <f t="shared" si="241"/>
        <v>84.9290780141844</v>
      </c>
      <c r="AR211" s="339">
        <f t="shared" si="242"/>
        <v>87.45207550187955</v>
      </c>
    </row>
    <row r="212" spans="3:44" ht="12.75">
      <c r="C212" s="393"/>
      <c r="D212" s="393" t="s">
        <v>88</v>
      </c>
      <c r="AB212" s="299" t="s">
        <v>2</v>
      </c>
      <c r="AC212" s="340">
        <f t="shared" si="229"/>
        <v>5060</v>
      </c>
      <c r="AD212" s="341">
        <f t="shared" si="230"/>
        <v>12650</v>
      </c>
      <c r="AE212" s="341">
        <f t="shared" si="231"/>
        <v>25300</v>
      </c>
      <c r="AF212" s="341">
        <f t="shared" si="232"/>
        <v>11467.47361571856</v>
      </c>
      <c r="AG212" s="252">
        <f t="shared" si="233"/>
        <v>10569.100106653052</v>
      </c>
      <c r="AH212" s="162">
        <f t="shared" si="234"/>
        <v>10727.290566621665</v>
      </c>
      <c r="AI212" s="339">
        <f t="shared" si="235"/>
        <v>10449.821166706888</v>
      </c>
      <c r="AK212" s="299" t="s">
        <v>2</v>
      </c>
      <c r="AL212" s="340">
        <f t="shared" si="236"/>
        <v>135</v>
      </c>
      <c r="AM212" s="341">
        <f t="shared" si="237"/>
        <v>337.5</v>
      </c>
      <c r="AN212" s="341">
        <f t="shared" si="238"/>
        <v>675</v>
      </c>
      <c r="AO212" s="341">
        <f t="shared" si="239"/>
        <v>305.9503830280644</v>
      </c>
      <c r="AP212" s="252">
        <f t="shared" si="240"/>
        <v>281.981919841534</v>
      </c>
      <c r="AQ212" s="162">
        <f t="shared" si="241"/>
        <v>286.20241630314723</v>
      </c>
      <c r="AR212" s="339">
        <f t="shared" si="242"/>
        <v>278.7995765821008</v>
      </c>
    </row>
    <row r="213" spans="3:44" ht="12.75">
      <c r="C213" s="393" t="s">
        <v>90</v>
      </c>
      <c r="F213" s="294" t="s">
        <v>202</v>
      </c>
      <c r="AB213" s="299" t="s">
        <v>3</v>
      </c>
      <c r="AC213" s="340">
        <f t="shared" si="229"/>
        <v>3500.0000000000005</v>
      </c>
      <c r="AD213" s="341">
        <f t="shared" si="230"/>
        <v>8750</v>
      </c>
      <c r="AE213" s="341">
        <f t="shared" si="231"/>
        <v>17500</v>
      </c>
      <c r="AF213" s="341">
        <f t="shared" si="232"/>
        <v>4580.1875</v>
      </c>
      <c r="AG213" s="252">
        <f t="shared" si="233"/>
        <v>4399.795869356389</v>
      </c>
      <c r="AH213" s="162">
        <f t="shared" si="234"/>
        <v>4320.931603773584</v>
      </c>
      <c r="AI213" s="339">
        <f t="shared" si="235"/>
        <v>3275.847225921168</v>
      </c>
      <c r="AK213" s="299" t="s">
        <v>3</v>
      </c>
      <c r="AL213" s="340">
        <f t="shared" si="236"/>
        <v>454.9</v>
      </c>
      <c r="AM213" s="341">
        <f t="shared" si="237"/>
        <v>950.4</v>
      </c>
      <c r="AN213" s="341">
        <f t="shared" si="238"/>
        <v>1775.6</v>
      </c>
      <c r="AO213" s="341">
        <f t="shared" si="239"/>
        <v>556.849125</v>
      </c>
      <c r="AP213" s="252">
        <f t="shared" si="240"/>
        <v>534.917507204611</v>
      </c>
      <c r="AQ213" s="162">
        <f t="shared" si="241"/>
        <v>525.3293632075471</v>
      </c>
      <c r="AR213" s="339">
        <f t="shared" si="242"/>
        <v>398.270302555928</v>
      </c>
    </row>
    <row r="214" spans="1:44" ht="12.75">
      <c r="A214" s="294" t="s">
        <v>153</v>
      </c>
      <c r="C214" s="393"/>
      <c r="AB214" s="299" t="s">
        <v>15</v>
      </c>
      <c r="AC214" s="340">
        <f t="shared" si="229"/>
        <v>11020</v>
      </c>
      <c r="AD214" s="341">
        <f t="shared" si="230"/>
        <v>28000</v>
      </c>
      <c r="AE214" s="341">
        <f t="shared" si="231"/>
        <v>56300</v>
      </c>
      <c r="AF214" s="341">
        <f t="shared" si="232"/>
        <v>14729</v>
      </c>
      <c r="AG214" s="252">
        <f t="shared" si="233"/>
        <v>16775.626423690206</v>
      </c>
      <c r="AH214" s="162">
        <f t="shared" si="234"/>
        <v>17348.64546525324</v>
      </c>
      <c r="AI214" s="339">
        <f t="shared" si="235"/>
        <v>19616.037514585765</v>
      </c>
      <c r="AK214" s="299" t="s">
        <v>15</v>
      </c>
      <c r="AL214" s="340">
        <f t="shared" si="236"/>
        <v>1043</v>
      </c>
      <c r="AM214" s="341">
        <f t="shared" si="237"/>
        <v>2565</v>
      </c>
      <c r="AN214" s="341">
        <f t="shared" si="238"/>
        <v>5113</v>
      </c>
      <c r="AO214" s="341">
        <f t="shared" si="239"/>
        <v>1322.75</v>
      </c>
      <c r="AP214" s="252">
        <f t="shared" si="240"/>
        <v>1506.5489749430524</v>
      </c>
      <c r="AQ214" s="162">
        <f t="shared" si="241"/>
        <v>1558.0094228504122</v>
      </c>
      <c r="AR214" s="339">
        <f t="shared" si="242"/>
        <v>1761.6344369894982</v>
      </c>
    </row>
    <row r="215" spans="1:44" ht="12.75">
      <c r="A215" s="294" t="s">
        <v>183</v>
      </c>
      <c r="C215" s="300" t="s">
        <v>184</v>
      </c>
      <c r="AB215" s="299" t="s">
        <v>19</v>
      </c>
      <c r="AC215" s="340">
        <f t="shared" si="229"/>
        <v>5420</v>
      </c>
      <c r="AD215" s="341">
        <f t="shared" si="230"/>
        <v>14420</v>
      </c>
      <c r="AE215" s="341">
        <f t="shared" si="231"/>
        <v>29420</v>
      </c>
      <c r="AF215" s="341">
        <f t="shared" si="232"/>
        <v>5420</v>
      </c>
      <c r="AG215" s="252">
        <f t="shared" si="233"/>
        <v>8522.012578616352</v>
      </c>
      <c r="AH215" s="162">
        <f t="shared" si="234"/>
        <v>8870.703764320786</v>
      </c>
      <c r="AI215" s="339">
        <f t="shared" si="235"/>
        <v>21156.350889192887</v>
      </c>
      <c r="AK215" s="299" t="s">
        <v>19</v>
      </c>
      <c r="AL215" s="340">
        <f t="shared" si="236"/>
        <v>48.8</v>
      </c>
      <c r="AM215" s="341">
        <f t="shared" si="237"/>
        <v>48.8</v>
      </c>
      <c r="AN215" s="341">
        <f t="shared" si="238"/>
        <v>48.8</v>
      </c>
      <c r="AO215" s="341">
        <f t="shared" si="239"/>
        <v>48.8</v>
      </c>
      <c r="AP215" s="252">
        <f t="shared" si="240"/>
        <v>76.72955974842766</v>
      </c>
      <c r="AQ215" s="162">
        <f t="shared" si="241"/>
        <v>79.86906710310966</v>
      </c>
      <c r="AR215" s="339">
        <f t="shared" si="242"/>
        <v>190.48522571819424</v>
      </c>
    </row>
    <row r="216" spans="3:44" ht="12.75">
      <c r="C216" s="394" t="s">
        <v>187</v>
      </c>
      <c r="AB216" s="299" t="s">
        <v>4</v>
      </c>
      <c r="AC216" s="340">
        <f t="shared" si="229"/>
        <v>0</v>
      </c>
      <c r="AD216" s="341">
        <f t="shared" si="230"/>
        <v>10000</v>
      </c>
      <c r="AE216" s="341">
        <f t="shared" si="231"/>
        <v>37500</v>
      </c>
      <c r="AF216" s="341">
        <f t="shared" si="232"/>
        <v>15864.1</v>
      </c>
      <c r="AG216" s="252">
        <f t="shared" si="233"/>
        <v>12855.83468395462</v>
      </c>
      <c r="AH216" s="162">
        <f t="shared" si="234"/>
        <v>13176.162790697676</v>
      </c>
      <c r="AI216" s="339">
        <f t="shared" si="235"/>
        <v>11234.753535196847</v>
      </c>
      <c r="AK216" s="299" t="s">
        <v>4</v>
      </c>
      <c r="AL216" s="340">
        <f t="shared" si="236"/>
        <v>375</v>
      </c>
      <c r="AM216" s="341">
        <f t="shared" si="237"/>
        <v>375</v>
      </c>
      <c r="AN216" s="341">
        <f t="shared" si="238"/>
        <v>625</v>
      </c>
      <c r="AO216" s="341">
        <f t="shared" si="239"/>
        <v>428.31</v>
      </c>
      <c r="AP216" s="252">
        <f t="shared" si="240"/>
        <v>347.0907617504052</v>
      </c>
      <c r="AQ216" s="162">
        <f t="shared" si="241"/>
        <v>355.7392026578073</v>
      </c>
      <c r="AR216" s="339">
        <f t="shared" si="242"/>
        <v>303.32368597400176</v>
      </c>
    </row>
    <row r="217" spans="1:44" ht="12.75">
      <c r="A217" s="294" t="s">
        <v>116</v>
      </c>
      <c r="C217" s="393" t="s">
        <v>185</v>
      </c>
      <c r="AB217" s="299" t="s">
        <v>5</v>
      </c>
      <c r="AC217" s="340">
        <f t="shared" si="229"/>
        <v>2015.6</v>
      </c>
      <c r="AD217" s="341">
        <f t="shared" si="230"/>
        <v>4265.6</v>
      </c>
      <c r="AE217" s="341">
        <f t="shared" si="231"/>
        <v>8015.6</v>
      </c>
      <c r="AF217" s="341">
        <f t="shared" si="232"/>
        <v>2458.58</v>
      </c>
      <c r="AG217" s="252">
        <f t="shared" si="233"/>
        <v>2396.2768031189084</v>
      </c>
      <c r="AH217" s="162">
        <f t="shared" si="234"/>
        <v>2443.9165009940357</v>
      </c>
      <c r="AI217" s="339">
        <f t="shared" si="235"/>
        <v>2858.1180311672438</v>
      </c>
      <c r="AK217" s="299" t="s">
        <v>5</v>
      </c>
      <c r="AL217" s="340">
        <f t="shared" si="236"/>
        <v>139.297</v>
      </c>
      <c r="AM217" s="341">
        <f t="shared" si="237"/>
        <v>139.297</v>
      </c>
      <c r="AN217" s="341">
        <f t="shared" si="238"/>
        <v>139.297</v>
      </c>
      <c r="AO217" s="341">
        <f t="shared" si="239"/>
        <v>139.21</v>
      </c>
      <c r="AP217" s="252">
        <f t="shared" si="240"/>
        <v>135.682261208577</v>
      </c>
      <c r="AQ217" s="162">
        <f t="shared" si="241"/>
        <v>138.3797216699801</v>
      </c>
      <c r="AR217" s="339">
        <f t="shared" si="242"/>
        <v>161.83268842941538</v>
      </c>
    </row>
    <row r="218" spans="3:44" ht="12.75">
      <c r="C218" s="393" t="s">
        <v>117</v>
      </c>
      <c r="AB218" s="299" t="s">
        <v>6</v>
      </c>
      <c r="AC218" s="340">
        <f t="shared" si="229"/>
        <v>6000</v>
      </c>
      <c r="AD218" s="341">
        <f t="shared" si="230"/>
        <v>15000</v>
      </c>
      <c r="AE218" s="341">
        <f t="shared" si="231"/>
        <v>30000</v>
      </c>
      <c r="AF218" s="341">
        <f t="shared" si="232"/>
        <v>12120</v>
      </c>
      <c r="AG218" s="252">
        <f t="shared" si="233"/>
        <v>11520.912547528516</v>
      </c>
      <c r="AH218" s="162">
        <f t="shared" si="234"/>
        <v>11390.977443609021</v>
      </c>
      <c r="AI218" s="339">
        <f t="shared" si="235"/>
        <v>9361.279014684984</v>
      </c>
      <c r="AK218" s="299" t="s">
        <v>6</v>
      </c>
      <c r="AL218" s="340">
        <f t="shared" si="236"/>
        <v>164.1</v>
      </c>
      <c r="AM218" s="341">
        <f t="shared" si="237"/>
        <v>164.1</v>
      </c>
      <c r="AN218" s="341">
        <f t="shared" si="238"/>
        <v>164.1</v>
      </c>
      <c r="AO218" s="341">
        <f t="shared" si="239"/>
        <v>164.1</v>
      </c>
      <c r="AP218" s="252">
        <f t="shared" si="240"/>
        <v>155.9885931558935</v>
      </c>
      <c r="AQ218" s="162">
        <f t="shared" si="241"/>
        <v>154.22932330827066</v>
      </c>
      <c r="AR218" s="339">
        <f t="shared" si="242"/>
        <v>126.74801042160112</v>
      </c>
    </row>
    <row r="219" spans="1:44" ht="15.75">
      <c r="A219" s="294" t="s">
        <v>91</v>
      </c>
      <c r="C219" s="393" t="s">
        <v>248</v>
      </c>
      <c r="AB219" s="299" t="s">
        <v>7</v>
      </c>
      <c r="AC219" s="340">
        <f t="shared" si="229"/>
        <v>11417.5</v>
      </c>
      <c r="AD219" s="341">
        <f t="shared" si="230"/>
        <v>28543.4</v>
      </c>
      <c r="AE219" s="341">
        <f t="shared" si="231"/>
        <v>57087.5</v>
      </c>
      <c r="AF219" s="341">
        <f t="shared" si="232"/>
        <v>12017.5</v>
      </c>
      <c r="AG219" s="252">
        <f t="shared" si="233"/>
        <v>20163.590604026846</v>
      </c>
      <c r="AH219" s="162">
        <f t="shared" si="234"/>
        <v>22010.07326007326</v>
      </c>
      <c r="AI219" s="339">
        <f t="shared" si="235"/>
        <v>52754.51394230769</v>
      </c>
      <c r="AK219" s="299" t="s">
        <v>7</v>
      </c>
      <c r="AL219" s="340">
        <f t="shared" si="236"/>
        <v>50</v>
      </c>
      <c r="AM219" s="341">
        <f t="shared" si="237"/>
        <v>50</v>
      </c>
      <c r="AN219" s="341">
        <f t="shared" si="238"/>
        <v>50</v>
      </c>
      <c r="AO219" s="341">
        <f t="shared" si="239"/>
        <v>50</v>
      </c>
      <c r="AP219" s="252">
        <f t="shared" si="240"/>
        <v>83.89261744966443</v>
      </c>
      <c r="AQ219" s="162">
        <f t="shared" si="241"/>
        <v>91.57509157509156</v>
      </c>
      <c r="AR219" s="339">
        <f t="shared" si="242"/>
        <v>219.4903846153846</v>
      </c>
    </row>
    <row r="220" spans="28:44" ht="12.75">
      <c r="AB220" s="299" t="s">
        <v>189</v>
      </c>
      <c r="AC220" s="340">
        <f t="shared" si="229"/>
        <v>1220</v>
      </c>
      <c r="AD220" s="341">
        <f t="shared" si="230"/>
        <v>3050</v>
      </c>
      <c r="AE220" s="341">
        <f t="shared" si="231"/>
        <v>6100</v>
      </c>
      <c r="AF220" s="341">
        <f t="shared" si="232"/>
        <v>1220</v>
      </c>
      <c r="AG220" s="252">
        <f t="shared" si="233"/>
        <v>1431.924882629108</v>
      </c>
      <c r="AH220" s="162">
        <f t="shared" si="234"/>
        <v>1711.0799438990184</v>
      </c>
      <c r="AI220" s="339">
        <f t="shared" si="235"/>
        <v>2304.231342048651</v>
      </c>
      <c r="AK220" s="299" t="s">
        <v>189</v>
      </c>
      <c r="AL220" s="340">
        <f t="shared" si="236"/>
        <v>219.5</v>
      </c>
      <c r="AM220" s="341">
        <f t="shared" si="237"/>
        <v>219.5</v>
      </c>
      <c r="AN220" s="341">
        <f t="shared" si="238"/>
        <v>219.5</v>
      </c>
      <c r="AO220" s="341">
        <f t="shared" si="239"/>
        <v>219.5</v>
      </c>
      <c r="AP220" s="252">
        <f t="shared" si="240"/>
        <v>257.62910798122067</v>
      </c>
      <c r="AQ220" s="162">
        <f t="shared" si="241"/>
        <v>307.8541374474053</v>
      </c>
      <c r="AR220" s="339">
        <f t="shared" si="242"/>
        <v>414.5727701472778</v>
      </c>
    </row>
    <row r="221" spans="1:44" ht="12.75">
      <c r="A221" s="294" t="s">
        <v>108</v>
      </c>
      <c r="AB221" s="315" t="s">
        <v>8</v>
      </c>
      <c r="AC221" s="340">
        <f t="shared" si="229"/>
        <v>0</v>
      </c>
      <c r="AD221" s="341">
        <f t="shared" si="230"/>
        <v>2506</v>
      </c>
      <c r="AE221" s="341">
        <f t="shared" si="231"/>
        <v>15036</v>
      </c>
      <c r="AF221" s="341">
        <f t="shared" si="232"/>
        <v>1938.6000000000001</v>
      </c>
      <c r="AG221" s="252">
        <f t="shared" si="233"/>
        <v>1848.0457578646333</v>
      </c>
      <c r="AH221" s="162">
        <f t="shared" si="234"/>
        <v>1781.8014705882354</v>
      </c>
      <c r="AI221" s="339">
        <f t="shared" si="235"/>
        <v>1313.5960045119925</v>
      </c>
      <c r="AK221" s="315" t="s">
        <v>8</v>
      </c>
      <c r="AL221" s="340">
        <f t="shared" si="236"/>
        <v>251.1</v>
      </c>
      <c r="AM221" s="341">
        <f t="shared" si="237"/>
        <v>577.1</v>
      </c>
      <c r="AN221" s="341">
        <f t="shared" si="238"/>
        <v>838.4</v>
      </c>
      <c r="AO221" s="341">
        <f t="shared" si="239"/>
        <v>455.08906666666667</v>
      </c>
      <c r="AP221" s="252">
        <f t="shared" si="240"/>
        <v>433.8313314267557</v>
      </c>
      <c r="AQ221" s="162">
        <f t="shared" si="241"/>
        <v>418.2803921568627</v>
      </c>
      <c r="AR221" s="339">
        <f t="shared" si="242"/>
        <v>308.36850287342673</v>
      </c>
    </row>
    <row r="222" spans="28:44" ht="12.75">
      <c r="AB222" s="315" t="s">
        <v>188</v>
      </c>
      <c r="AC222" s="340">
        <f t="shared" si="229"/>
        <v>0</v>
      </c>
      <c r="AD222" s="341">
        <f t="shared" si="230"/>
        <v>0</v>
      </c>
      <c r="AE222" s="341">
        <f t="shared" si="231"/>
        <v>0</v>
      </c>
      <c r="AF222" s="341">
        <f t="shared" si="232"/>
        <v>0</v>
      </c>
      <c r="AG222" s="252">
        <f t="shared" si="233"/>
        <v>0</v>
      </c>
      <c r="AH222" s="162">
        <f t="shared" si="234"/>
        <v>0</v>
      </c>
      <c r="AI222" s="339">
        <f t="shared" si="235"/>
        <v>0</v>
      </c>
      <c r="AK222" s="315" t="s">
        <v>188</v>
      </c>
      <c r="AL222" s="340">
        <f t="shared" si="236"/>
        <v>60</v>
      </c>
      <c r="AM222" s="341">
        <f t="shared" si="237"/>
        <v>60</v>
      </c>
      <c r="AN222" s="341">
        <f t="shared" si="238"/>
        <v>60</v>
      </c>
      <c r="AO222" s="341">
        <f t="shared" si="239"/>
        <v>60</v>
      </c>
      <c r="AP222" s="252">
        <f t="shared" si="240"/>
        <v>104.16666666666667</v>
      </c>
      <c r="AQ222" s="162">
        <f t="shared" si="241"/>
        <v>109.09090909090908</v>
      </c>
      <c r="AR222" s="339">
        <f t="shared" si="242"/>
        <v>251.53719008264463</v>
      </c>
    </row>
    <row r="223" spans="28:44" ht="12.75">
      <c r="AB223" s="299" t="s">
        <v>16</v>
      </c>
      <c r="AC223" s="340">
        <f t="shared" si="229"/>
        <v>2000</v>
      </c>
      <c r="AD223" s="341">
        <f t="shared" si="230"/>
        <v>5000</v>
      </c>
      <c r="AE223" s="341">
        <f t="shared" si="231"/>
        <v>10000</v>
      </c>
      <c r="AF223" s="341">
        <f t="shared" si="232"/>
        <v>2000</v>
      </c>
      <c r="AG223" s="252">
        <f t="shared" si="233"/>
        <v>2617.801047120419</v>
      </c>
      <c r="AH223" s="162">
        <f t="shared" si="234"/>
        <v>2735.9781121751025</v>
      </c>
      <c r="AI223" s="339">
        <f t="shared" si="235"/>
        <v>5129.086619480957</v>
      </c>
      <c r="AK223" s="299" t="s">
        <v>16</v>
      </c>
      <c r="AL223" s="340">
        <f t="shared" si="236"/>
        <v>123</v>
      </c>
      <c r="AM223" s="341">
        <f t="shared" si="237"/>
        <v>123</v>
      </c>
      <c r="AN223" s="341">
        <f t="shared" si="238"/>
        <v>123</v>
      </c>
      <c r="AO223" s="341">
        <f t="shared" si="239"/>
        <v>123</v>
      </c>
      <c r="AP223" s="252">
        <f t="shared" si="240"/>
        <v>160.99476439790575</v>
      </c>
      <c r="AQ223" s="162">
        <f t="shared" si="241"/>
        <v>168.2626538987688</v>
      </c>
      <c r="AR223" s="339">
        <f t="shared" si="242"/>
        <v>315.4388270980789</v>
      </c>
    </row>
    <row r="224" spans="14:44" ht="12.75">
      <c r="N224" s="294" t="s">
        <v>241</v>
      </c>
      <c r="U224" s="294" t="s">
        <v>240</v>
      </c>
      <c r="AB224" s="299" t="s">
        <v>9</v>
      </c>
      <c r="AC224" s="340">
        <f t="shared" si="229"/>
        <v>8190</v>
      </c>
      <c r="AD224" s="341">
        <f t="shared" si="230"/>
        <v>20475.000000000004</v>
      </c>
      <c r="AE224" s="341">
        <f t="shared" si="231"/>
        <v>40950.00000000001</v>
      </c>
      <c r="AF224" s="341">
        <f t="shared" si="232"/>
        <v>14138.397</v>
      </c>
      <c r="AG224" s="252">
        <f t="shared" si="233"/>
        <v>15709.33</v>
      </c>
      <c r="AH224" s="162">
        <f t="shared" si="234"/>
        <v>15674.4977827051</v>
      </c>
      <c r="AI224" s="339">
        <f t="shared" si="235"/>
        <v>17925.860270995334</v>
      </c>
      <c r="AK224" s="299" t="s">
        <v>9</v>
      </c>
      <c r="AL224" s="340">
        <f t="shared" si="236"/>
        <v>241.7</v>
      </c>
      <c r="AM224" s="341">
        <f t="shared" si="237"/>
        <v>301.4</v>
      </c>
      <c r="AN224" s="341">
        <f t="shared" si="238"/>
        <v>384.2</v>
      </c>
      <c r="AO224" s="341">
        <f t="shared" si="239"/>
        <v>270.60674</v>
      </c>
      <c r="AP224" s="252">
        <f t="shared" si="240"/>
        <v>300.67415555555556</v>
      </c>
      <c r="AQ224" s="162">
        <f t="shared" si="241"/>
        <v>300.00747228381374</v>
      </c>
      <c r="AR224" s="339">
        <f t="shared" si="242"/>
        <v>343.09820339813376</v>
      </c>
    </row>
    <row r="225" spans="1:44" ht="12.75">
      <c r="A225" s="169"/>
      <c r="B225" s="170"/>
      <c r="C225" s="295"/>
      <c r="D225" s="187" t="s">
        <v>227</v>
      </c>
      <c r="E225" s="178"/>
      <c r="H225" s="169"/>
      <c r="I225" s="170"/>
      <c r="J225" s="171"/>
      <c r="K225" s="172" t="s">
        <v>70</v>
      </c>
      <c r="L225" s="178"/>
      <c r="N225" s="295"/>
      <c r="O225" s="395" t="s">
        <v>216</v>
      </c>
      <c r="P225" s="171"/>
      <c r="Q225" s="172" t="s">
        <v>70</v>
      </c>
      <c r="R225" s="178"/>
      <c r="S225" s="298"/>
      <c r="U225" s="295"/>
      <c r="V225" s="395" t="s">
        <v>216</v>
      </c>
      <c r="W225" s="171"/>
      <c r="X225" s="172" t="s">
        <v>70</v>
      </c>
      <c r="Y225" s="178"/>
      <c r="Z225" s="298"/>
      <c r="AB225" s="299" t="s">
        <v>10</v>
      </c>
      <c r="AC225" s="340">
        <f t="shared" si="229"/>
        <v>2900</v>
      </c>
      <c r="AD225" s="341">
        <f t="shared" si="230"/>
        <v>7250</v>
      </c>
      <c r="AE225" s="341">
        <f t="shared" si="231"/>
        <v>14500</v>
      </c>
      <c r="AF225" s="341">
        <f t="shared" si="232"/>
        <v>4277.5</v>
      </c>
      <c r="AG225" s="252">
        <f t="shared" si="233"/>
        <v>3546.849087893864</v>
      </c>
      <c r="AH225" s="162">
        <f t="shared" si="234"/>
        <v>3603.6225779275483</v>
      </c>
      <c r="AI225" s="339">
        <f t="shared" si="235"/>
        <v>3832.273342752855</v>
      </c>
      <c r="AK225" s="299" t="s">
        <v>10</v>
      </c>
      <c r="AL225" s="340">
        <f t="shared" si="236"/>
        <v>118</v>
      </c>
      <c r="AM225" s="341">
        <f t="shared" si="237"/>
        <v>118</v>
      </c>
      <c r="AN225" s="341">
        <f t="shared" si="238"/>
        <v>118</v>
      </c>
      <c r="AO225" s="341">
        <f t="shared" si="239"/>
        <v>118</v>
      </c>
      <c r="AP225" s="252">
        <f t="shared" si="240"/>
        <v>97.8441127694859</v>
      </c>
      <c r="AQ225" s="162">
        <f t="shared" si="241"/>
        <v>99.41027801179443</v>
      </c>
      <c r="AR225" s="339">
        <f t="shared" si="242"/>
        <v>105.71788531732014</v>
      </c>
    </row>
    <row r="226" spans="1:44" ht="15.75">
      <c r="A226" s="173"/>
      <c r="B226" s="161"/>
      <c r="C226" s="181"/>
      <c r="D226" s="62" t="s">
        <v>214</v>
      </c>
      <c r="E226" s="179"/>
      <c r="H226" s="173"/>
      <c r="I226" s="161"/>
      <c r="J226" s="173"/>
      <c r="K226" s="24" t="s">
        <v>214</v>
      </c>
      <c r="L226" s="179"/>
      <c r="N226" s="299"/>
      <c r="O226" s="306" t="s">
        <v>217</v>
      </c>
      <c r="P226" s="173"/>
      <c r="Q226" s="24" t="s">
        <v>214</v>
      </c>
      <c r="R226" s="179"/>
      <c r="S226" s="396" t="s">
        <v>27</v>
      </c>
      <c r="U226" s="299"/>
      <c r="V226" s="306" t="s">
        <v>217</v>
      </c>
      <c r="W226" s="173"/>
      <c r="X226" s="24" t="s">
        <v>214</v>
      </c>
      <c r="Y226" s="179"/>
      <c r="Z226" s="396" t="s">
        <v>27</v>
      </c>
      <c r="AB226" s="214" t="s">
        <v>27</v>
      </c>
      <c r="AC226" s="262">
        <f>SUM(AC206:AC225)/AD184</f>
        <v>3925.655</v>
      </c>
      <c r="AD226" s="261">
        <f>SUM(AD206:AD225)/AD184</f>
        <v>10592.75</v>
      </c>
      <c r="AE226" s="261">
        <f>SUM(AE206:AE225)/AD184</f>
        <v>23081.704999999998</v>
      </c>
      <c r="AF226" s="261">
        <f>SUM(AF206:AF225)/AD184</f>
        <v>6919.579155785929</v>
      </c>
      <c r="AG226" s="262">
        <f>SUM(AG206:AG225)/AD184</f>
        <v>7318.9745468599285</v>
      </c>
      <c r="AH226" s="261">
        <f>SUM(AH206:AH225)/AD184</f>
        <v>7506.844731170214</v>
      </c>
      <c r="AI226" s="264">
        <f>SUM(AI206:AI225)/AD184</f>
        <v>9515.001887647177</v>
      </c>
      <c r="AK226" s="214" t="s">
        <v>27</v>
      </c>
      <c r="AL226" s="262">
        <f aca="true" t="shared" si="243" ref="AL226:AR226">SUM(AL206:AL225)/18</f>
        <v>441.06094444444443</v>
      </c>
      <c r="AM226" s="261">
        <f t="shared" si="243"/>
        <v>919.4331666666666</v>
      </c>
      <c r="AN226" s="261">
        <f t="shared" si="243"/>
        <v>1696.9220555555555</v>
      </c>
      <c r="AO226" s="261">
        <f t="shared" si="243"/>
        <v>674.7391610015591</v>
      </c>
      <c r="AP226" s="262">
        <f t="shared" si="243"/>
        <v>621.453745220284</v>
      </c>
      <c r="AQ226" s="261">
        <f t="shared" si="243"/>
        <v>631.1519781846569</v>
      </c>
      <c r="AR226" s="264">
        <f t="shared" si="243"/>
        <v>626.662487901479</v>
      </c>
    </row>
    <row r="227" spans="1:26" ht="12.75">
      <c r="A227" s="174" t="s">
        <v>11</v>
      </c>
      <c r="B227" s="175"/>
      <c r="C227" s="185">
        <v>100000</v>
      </c>
      <c r="D227" s="185">
        <v>250000</v>
      </c>
      <c r="E227" s="185">
        <v>500000</v>
      </c>
      <c r="H227" s="174" t="s">
        <v>11</v>
      </c>
      <c r="I227" s="175"/>
      <c r="J227" s="185">
        <v>100000</v>
      </c>
      <c r="K227" s="185">
        <v>250000</v>
      </c>
      <c r="L227" s="185">
        <v>500000</v>
      </c>
      <c r="N227" s="316" t="s">
        <v>11</v>
      </c>
      <c r="O227" s="397" t="s">
        <v>218</v>
      </c>
      <c r="P227" s="185">
        <v>100000</v>
      </c>
      <c r="Q227" s="185">
        <v>250000</v>
      </c>
      <c r="R227" s="185">
        <v>500000</v>
      </c>
      <c r="S227" s="398" t="s">
        <v>94</v>
      </c>
      <c r="U227" s="316" t="s">
        <v>11</v>
      </c>
      <c r="V227" s="397" t="s">
        <v>218</v>
      </c>
      <c r="W227" s="185">
        <v>100000</v>
      </c>
      <c r="X227" s="185">
        <v>250000</v>
      </c>
      <c r="Y227" s="185">
        <v>500000</v>
      </c>
      <c r="Z227" s="398" t="s">
        <v>94</v>
      </c>
    </row>
    <row r="228" spans="1:26" ht="12.75">
      <c r="A228" s="173" t="s">
        <v>10</v>
      </c>
      <c r="B228" s="161"/>
      <c r="C228" s="184">
        <v>0.0046214529612622155</v>
      </c>
      <c r="D228" s="184">
        <v>0.0018485811845048864</v>
      </c>
      <c r="E228" s="180">
        <v>0.0009242905922524432</v>
      </c>
      <c r="H228" s="173" t="s">
        <v>12</v>
      </c>
      <c r="I228" s="161" t="s">
        <v>219</v>
      </c>
      <c r="J228" s="184">
        <v>0.011771216394730265</v>
      </c>
      <c r="K228" s="184">
        <v>0.006390088899996429</v>
      </c>
      <c r="L228" s="180">
        <v>0.004876646792102538</v>
      </c>
      <c r="N228" s="299" t="s">
        <v>208</v>
      </c>
      <c r="O228" s="399">
        <v>11.01</v>
      </c>
      <c r="P228" s="180">
        <v>0.011771216394730265</v>
      </c>
      <c r="Q228" s="180">
        <v>0.006390088899996429</v>
      </c>
      <c r="R228" s="180">
        <v>0.004876646792102538</v>
      </c>
      <c r="S228" s="396">
        <v>0.010444444444444445</v>
      </c>
      <c r="U228" s="299" t="s">
        <v>1</v>
      </c>
      <c r="V228" s="399">
        <v>0.45</v>
      </c>
      <c r="W228" s="180">
        <v>0.008758497960489482</v>
      </c>
      <c r="X228" s="180">
        <v>0.0035033991841957935</v>
      </c>
      <c r="Y228" s="180">
        <v>0.0017516995920978968</v>
      </c>
      <c r="Z228" s="396">
        <v>0.007514787161834578</v>
      </c>
    </row>
    <row r="229" spans="1:26" ht="12.75">
      <c r="A229" s="173" t="s">
        <v>3</v>
      </c>
      <c r="B229" s="161"/>
      <c r="C229" s="180">
        <v>0.005442561724526883</v>
      </c>
      <c r="D229" s="180">
        <v>0.004304759368341897</v>
      </c>
      <c r="E229" s="180">
        <v>0.003876644629652839</v>
      </c>
      <c r="H229" s="173" t="s">
        <v>13</v>
      </c>
      <c r="I229" s="161" t="s">
        <v>130</v>
      </c>
      <c r="J229" s="180">
        <v>0.0165186571105776</v>
      </c>
      <c r="K229" s="180">
        <v>0.0102462222002542</v>
      </c>
      <c r="L229" s="180">
        <v>0.0054942904956926985</v>
      </c>
      <c r="N229" s="299" t="s">
        <v>13</v>
      </c>
      <c r="O229" s="399">
        <v>14.695</v>
      </c>
      <c r="P229" s="180">
        <v>0.0165186571105776</v>
      </c>
      <c r="Q229" s="180">
        <v>0.0102462222002542</v>
      </c>
      <c r="R229" s="180">
        <v>0.0054942904956926985</v>
      </c>
      <c r="S229" s="396">
        <v>0.014822910179640719</v>
      </c>
      <c r="U229" s="299" t="s">
        <v>10</v>
      </c>
      <c r="V229" s="399">
        <v>1.172</v>
      </c>
      <c r="W229" s="180">
        <v>0.0046214529612622155</v>
      </c>
      <c r="X229" s="180">
        <v>0.0018485811845048864</v>
      </c>
      <c r="Y229" s="180">
        <v>0.0009242905922524432</v>
      </c>
      <c r="Z229" s="396">
        <v>0.003389830508474576</v>
      </c>
    </row>
    <row r="230" spans="1:26" ht="12.75">
      <c r="A230" s="173" t="s">
        <v>4</v>
      </c>
      <c r="B230" s="161"/>
      <c r="C230" s="180">
        <v>0.007306176899450873</v>
      </c>
      <c r="D230" s="180">
        <v>0.0058449415195606985</v>
      </c>
      <c r="E230" s="180">
        <v>0.0058449415195606985</v>
      </c>
      <c r="H230" s="173" t="s">
        <v>212</v>
      </c>
      <c r="I230" s="161" t="s">
        <v>131</v>
      </c>
      <c r="J230" s="180">
        <v>0.027282949434373725</v>
      </c>
      <c r="K230" s="180">
        <v>0.010913179773749488</v>
      </c>
      <c r="L230" s="180">
        <v>0.005456589886874744</v>
      </c>
      <c r="N230" s="299" t="s">
        <v>48</v>
      </c>
      <c r="O230" s="399">
        <v>9.395</v>
      </c>
      <c r="P230" s="180">
        <v>0.027282949434373725</v>
      </c>
      <c r="Q230" s="180">
        <v>0.010913179773749488</v>
      </c>
      <c r="R230" s="180">
        <v>0.005456589886874744</v>
      </c>
      <c r="S230" s="396">
        <v>0.0085</v>
      </c>
      <c r="U230" s="299" t="s">
        <v>209</v>
      </c>
      <c r="V230" s="399">
        <v>2.76225</v>
      </c>
      <c r="W230" s="180">
        <v>0.007410056993588221</v>
      </c>
      <c r="X230" s="180">
        <v>0.003760953455236286</v>
      </c>
      <c r="Y230" s="180">
        <v>0.0023768107337924483</v>
      </c>
      <c r="Z230" s="396">
        <v>0.0047449370277078086</v>
      </c>
    </row>
    <row r="231" spans="1:26" ht="12.75">
      <c r="A231" s="173" t="s">
        <v>209</v>
      </c>
      <c r="B231" s="161"/>
      <c r="C231" s="180">
        <v>0.007410056993588221</v>
      </c>
      <c r="D231" s="180">
        <v>0.003760953455236286</v>
      </c>
      <c r="E231" s="180">
        <v>0.0023768107337924483</v>
      </c>
      <c r="H231" s="173" t="s">
        <v>14</v>
      </c>
      <c r="I231" s="161" t="s">
        <v>132</v>
      </c>
      <c r="J231" s="180">
        <v>0.011419508364848407</v>
      </c>
      <c r="K231" s="180">
        <v>0.004567803345939363</v>
      </c>
      <c r="L231" s="180">
        <v>0.0022839016729696814</v>
      </c>
      <c r="N231" s="299" t="s">
        <v>14</v>
      </c>
      <c r="O231" s="399">
        <v>2.7875</v>
      </c>
      <c r="P231" s="180">
        <v>0.011419508364848407</v>
      </c>
      <c r="Q231" s="180">
        <v>0.004567803345939363</v>
      </c>
      <c r="R231" s="180">
        <v>0.0022839016729696814</v>
      </c>
      <c r="S231" s="396">
        <v>0.006823229647000462</v>
      </c>
      <c r="U231" s="299" t="s">
        <v>14</v>
      </c>
      <c r="V231" s="399">
        <v>2.7875</v>
      </c>
      <c r="W231" s="180">
        <v>0.011419508364848407</v>
      </c>
      <c r="X231" s="180">
        <v>0.004567803345939363</v>
      </c>
      <c r="Y231" s="180">
        <v>0.0022839016729696814</v>
      </c>
      <c r="Z231" s="396">
        <v>0.006823229647000462</v>
      </c>
    </row>
    <row r="232" spans="1:26" ht="12.75">
      <c r="A232" s="173" t="s">
        <v>6</v>
      </c>
      <c r="B232" s="161"/>
      <c r="C232" s="180">
        <v>0.00841310482506598</v>
      </c>
      <c r="D232" s="180">
        <v>0.0036747370914258647</v>
      </c>
      <c r="E232" s="180">
        <v>0.0029468975434797317</v>
      </c>
      <c r="H232" s="173" t="s">
        <v>209</v>
      </c>
      <c r="I232" s="161" t="s">
        <v>220</v>
      </c>
      <c r="J232" s="180">
        <v>0.007410056993588221</v>
      </c>
      <c r="K232" s="180">
        <v>0.003760953455236286</v>
      </c>
      <c r="L232" s="180">
        <v>0.0023768107337924483</v>
      </c>
      <c r="N232" s="299" t="s">
        <v>209</v>
      </c>
      <c r="O232" s="399">
        <v>2.76225</v>
      </c>
      <c r="P232" s="180">
        <v>0.007410056993588221</v>
      </c>
      <c r="Q232" s="180">
        <v>0.003760953455236286</v>
      </c>
      <c r="R232" s="180">
        <v>0.0023768107337924483</v>
      </c>
      <c r="S232" s="396">
        <v>0.0047449370277078086</v>
      </c>
      <c r="U232" s="299" t="s">
        <v>8</v>
      </c>
      <c r="V232" s="399">
        <v>2.9025</v>
      </c>
      <c r="W232" s="180">
        <v>0.010051812218000476</v>
      </c>
      <c r="X232" s="180">
        <v>0.004852329019235336</v>
      </c>
      <c r="Y232" s="180">
        <v>0.003254273331750178</v>
      </c>
      <c r="Z232" s="396">
        <v>0.008377143780735239</v>
      </c>
    </row>
    <row r="233" spans="1:26" ht="12.75">
      <c r="A233" s="173" t="s">
        <v>1</v>
      </c>
      <c r="B233" s="161"/>
      <c r="C233" s="180">
        <v>0.008758497960489482</v>
      </c>
      <c r="D233" s="180">
        <v>0.0035033991841957935</v>
      </c>
      <c r="E233" s="180">
        <v>0.0017516995920978968</v>
      </c>
      <c r="H233" s="173" t="s">
        <v>1</v>
      </c>
      <c r="I233" s="161" t="s">
        <v>134</v>
      </c>
      <c r="J233" s="180">
        <v>0.008758497960489482</v>
      </c>
      <c r="K233" s="180">
        <v>0.0035033991841957935</v>
      </c>
      <c r="L233" s="180">
        <v>0.0017516995920978968</v>
      </c>
      <c r="N233" s="299" t="s">
        <v>1</v>
      </c>
      <c r="O233" s="399">
        <v>0.45</v>
      </c>
      <c r="P233" s="180">
        <v>0.008758497960489482</v>
      </c>
      <c r="Q233" s="180">
        <v>0.0035033991841957935</v>
      </c>
      <c r="R233" s="180">
        <v>0.0017516995920978968</v>
      </c>
      <c r="S233" s="396">
        <v>0.007514787161834578</v>
      </c>
      <c r="U233" s="299" t="s">
        <v>206</v>
      </c>
      <c r="V233" s="399">
        <v>3.285</v>
      </c>
      <c r="W233" s="180">
        <v>0.007306176899450873</v>
      </c>
      <c r="X233" s="180">
        <v>0.0058449415195606985</v>
      </c>
      <c r="Y233" s="180">
        <v>0.0058449415195606985</v>
      </c>
      <c r="Z233" s="396">
        <v>0.008</v>
      </c>
    </row>
    <row r="234" spans="1:26" ht="12.75">
      <c r="A234" s="173" t="s">
        <v>189</v>
      </c>
      <c r="B234" s="161"/>
      <c r="C234" s="180">
        <v>0.00994532516961774</v>
      </c>
      <c r="D234" s="180">
        <v>0.004801464256164158</v>
      </c>
      <c r="E234" s="180">
        <v>0.002400732128082079</v>
      </c>
      <c r="H234" s="173" t="s">
        <v>2</v>
      </c>
      <c r="I234" s="161" t="s">
        <v>134</v>
      </c>
      <c r="J234" s="180">
        <v>0.013375375269461079</v>
      </c>
      <c r="K234" s="180">
        <v>0.011089276646706588</v>
      </c>
      <c r="L234" s="180">
        <v>0.010327215568862276</v>
      </c>
      <c r="N234" s="299" t="s">
        <v>2</v>
      </c>
      <c r="O234" s="399">
        <v>14.27</v>
      </c>
      <c r="P234" s="180">
        <v>0.013375375269461079</v>
      </c>
      <c r="Q234" s="180">
        <v>0.011089276646706588</v>
      </c>
      <c r="R234" s="180">
        <v>0.010327215568862276</v>
      </c>
      <c r="S234" s="396">
        <v>0.011962772028195148</v>
      </c>
      <c r="U234" s="299" t="s">
        <v>188</v>
      </c>
      <c r="V234" s="399">
        <v>5.7975</v>
      </c>
      <c r="W234" s="180">
        <v>0.018165289256198345</v>
      </c>
      <c r="X234" s="180">
        <v>0.007266115702479339</v>
      </c>
      <c r="Y234" s="180">
        <v>0.0036330578512396693</v>
      </c>
      <c r="Z234" s="396">
        <v>0.0042</v>
      </c>
    </row>
    <row r="235" spans="1:34" ht="12.75">
      <c r="A235" s="176" t="s">
        <v>8</v>
      </c>
      <c r="B235" s="177"/>
      <c r="C235" s="180">
        <v>0.010051812218000476</v>
      </c>
      <c r="D235" s="180">
        <v>0.004852329019235336</v>
      </c>
      <c r="E235" s="180">
        <v>0.003254273331750178</v>
      </c>
      <c r="H235" s="173" t="s">
        <v>3</v>
      </c>
      <c r="I235" s="161" t="s">
        <v>221</v>
      </c>
      <c r="J235" s="180">
        <v>0.005442561724526883</v>
      </c>
      <c r="K235" s="180">
        <v>0.004304759368341897</v>
      </c>
      <c r="L235" s="180">
        <v>0.003876644629652839</v>
      </c>
      <c r="N235" s="299" t="s">
        <v>3</v>
      </c>
      <c r="O235" s="399">
        <v>14.2075</v>
      </c>
      <c r="P235" s="180">
        <v>0.005442561724526883</v>
      </c>
      <c r="Q235" s="180">
        <v>0.004304759368341897</v>
      </c>
      <c r="R235" s="180">
        <v>0.003876644629652839</v>
      </c>
      <c r="S235" s="396">
        <v>0.006769893399560608</v>
      </c>
      <c r="U235" s="299" t="s">
        <v>6</v>
      </c>
      <c r="V235" s="399">
        <v>7.055</v>
      </c>
      <c r="W235" s="180">
        <v>0.00841310482506598</v>
      </c>
      <c r="X235" s="180">
        <v>0.0036747370914258647</v>
      </c>
      <c r="Y235" s="180">
        <v>0.0029468975434797317</v>
      </c>
      <c r="Z235" s="396">
        <v>0.0055536039603960394</v>
      </c>
      <c r="AE235" s="188" t="s">
        <v>172</v>
      </c>
      <c r="AH235" s="188"/>
    </row>
    <row r="236" spans="1:26" ht="12.75">
      <c r="A236" s="173" t="s">
        <v>14</v>
      </c>
      <c r="B236" s="161"/>
      <c r="C236" s="180">
        <v>0.011419508364848407</v>
      </c>
      <c r="D236" s="180">
        <v>0.004567803345939363</v>
      </c>
      <c r="E236" s="180">
        <v>0.0022839016729696814</v>
      </c>
      <c r="H236" s="173" t="s">
        <v>15</v>
      </c>
      <c r="I236" s="161" t="s">
        <v>223</v>
      </c>
      <c r="J236" s="180">
        <v>0.043829929988331386</v>
      </c>
      <c r="K236" s="180">
        <v>0.035668494749124854</v>
      </c>
      <c r="L236" s="180">
        <v>0.03294801633605601</v>
      </c>
      <c r="N236" s="299" t="s">
        <v>15</v>
      </c>
      <c r="O236" s="399">
        <v>18</v>
      </c>
      <c r="P236" s="180"/>
      <c r="Q236" s="180"/>
      <c r="R236" s="180"/>
      <c r="S236" s="396"/>
      <c r="U236" s="299" t="s">
        <v>48</v>
      </c>
      <c r="V236" s="399">
        <v>9.395</v>
      </c>
      <c r="W236" s="180">
        <v>0.027282949434373725</v>
      </c>
      <c r="X236" s="180">
        <v>0.010913179773749488</v>
      </c>
      <c r="Y236" s="180">
        <v>0.005456589886874744</v>
      </c>
      <c r="Z236" s="396">
        <v>0.0085</v>
      </c>
    </row>
    <row r="237" spans="1:26" ht="12.75">
      <c r="A237" s="173" t="s">
        <v>9</v>
      </c>
      <c r="B237" s="161"/>
      <c r="C237" s="180">
        <v>0.01165858420351033</v>
      </c>
      <c r="D237" s="180">
        <v>0.00624878138191513</v>
      </c>
      <c r="E237" s="180">
        <v>0.0035691251944012436</v>
      </c>
      <c r="H237" s="173" t="s">
        <v>213</v>
      </c>
      <c r="I237" s="161" t="s">
        <v>138</v>
      </c>
      <c r="J237" s="180">
        <v>0.06958686730506156</v>
      </c>
      <c r="K237" s="180">
        <v>0.052657284541723665</v>
      </c>
      <c r="L237" s="180">
        <v>0.0374109952120383</v>
      </c>
      <c r="N237" s="299" t="s">
        <v>207</v>
      </c>
      <c r="O237" s="399">
        <v>9.565</v>
      </c>
      <c r="P237" s="180"/>
      <c r="Q237" s="180"/>
      <c r="R237" s="180"/>
      <c r="S237" s="396"/>
      <c r="U237" s="299" t="s">
        <v>207</v>
      </c>
      <c r="V237" s="399">
        <v>9.565</v>
      </c>
      <c r="W237" s="180"/>
      <c r="X237" s="180"/>
      <c r="Y237" s="180"/>
      <c r="Z237" s="396"/>
    </row>
    <row r="238" spans="1:37" ht="12.75">
      <c r="A238" s="173" t="s">
        <v>12</v>
      </c>
      <c r="B238" s="161"/>
      <c r="C238" s="180">
        <v>0.011771216394730265</v>
      </c>
      <c r="D238" s="180">
        <v>0.006390088899996429</v>
      </c>
      <c r="E238" s="180">
        <v>0.004876646792102538</v>
      </c>
      <c r="H238" s="173" t="s">
        <v>4</v>
      </c>
      <c r="I238" s="161" t="s">
        <v>139</v>
      </c>
      <c r="J238" s="180">
        <v>0.007306176899450873</v>
      </c>
      <c r="K238" s="180">
        <v>0.0058449415195606985</v>
      </c>
      <c r="L238" s="180">
        <v>0.0058449415195606985</v>
      </c>
      <c r="N238" s="299" t="s">
        <v>206</v>
      </c>
      <c r="O238" s="399">
        <v>3.285</v>
      </c>
      <c r="P238" s="180">
        <v>0.007306176899450873</v>
      </c>
      <c r="Q238" s="180">
        <v>0.0058449415195606985</v>
      </c>
      <c r="R238" s="180">
        <v>0.0058449415195606985</v>
      </c>
      <c r="S238" s="396">
        <v>0.008</v>
      </c>
      <c r="U238" s="299" t="s">
        <v>208</v>
      </c>
      <c r="V238" s="399">
        <v>11.01</v>
      </c>
      <c r="W238" s="180">
        <v>0.011771216394730265</v>
      </c>
      <c r="X238" s="180">
        <v>0.006390088899996429</v>
      </c>
      <c r="Y238" s="180">
        <v>0.004876646792102538</v>
      </c>
      <c r="Z238" s="396">
        <v>0.010444444444444445</v>
      </c>
      <c r="AD238" s="295"/>
      <c r="AE238" s="243" t="s">
        <v>173</v>
      </c>
      <c r="AF238" s="288"/>
      <c r="AG238" s="296"/>
      <c r="AH238" s="333"/>
      <c r="AI238" s="243"/>
      <c r="AJ238" s="171" t="s">
        <v>174</v>
      </c>
      <c r="AK238" s="298"/>
    </row>
    <row r="239" spans="1:37" ht="12.75">
      <c r="A239" s="173" t="s">
        <v>2</v>
      </c>
      <c r="B239" s="161"/>
      <c r="C239" s="180">
        <v>0.013375375269461079</v>
      </c>
      <c r="D239" s="180">
        <v>0.011089276646706588</v>
      </c>
      <c r="E239" s="180">
        <v>0.010327215568862276</v>
      </c>
      <c r="H239" s="173" t="s">
        <v>5</v>
      </c>
      <c r="I239" s="161" t="s">
        <v>140</v>
      </c>
      <c r="J239" s="180">
        <v>0.027812410877979223</v>
      </c>
      <c r="K239" s="180">
        <v>0.01556727439397026</v>
      </c>
      <c r="L239" s="180">
        <v>0.011381620492972092</v>
      </c>
      <c r="N239" s="299" t="s">
        <v>5</v>
      </c>
      <c r="O239" s="399">
        <v>14.06</v>
      </c>
      <c r="P239" s="180">
        <v>0.027812410877979223</v>
      </c>
      <c r="Q239" s="180">
        <v>0.01556727439397026</v>
      </c>
      <c r="R239" s="180">
        <v>0.011381620492972092</v>
      </c>
      <c r="S239" s="396">
        <v>0.019310370255998518</v>
      </c>
      <c r="U239" s="299" t="s">
        <v>16</v>
      </c>
      <c r="V239" s="399">
        <v>11.855</v>
      </c>
      <c r="W239" s="180">
        <v>0.021430738119312436</v>
      </c>
      <c r="X239" s="180">
        <v>0.01273938321536906</v>
      </c>
      <c r="Y239" s="180">
        <v>0.007286450960566229</v>
      </c>
      <c r="Z239" s="396">
        <v>0.0081</v>
      </c>
      <c r="AD239" s="299"/>
      <c r="AE239" s="334">
        <v>100000</v>
      </c>
      <c r="AF239" s="335">
        <v>250000</v>
      </c>
      <c r="AG239" s="335">
        <v>500000</v>
      </c>
      <c r="AH239" s="337" t="s">
        <v>27</v>
      </c>
      <c r="AI239" s="245" t="s">
        <v>94</v>
      </c>
      <c r="AJ239" s="246" t="s">
        <v>95</v>
      </c>
      <c r="AK239" s="304" t="s">
        <v>111</v>
      </c>
    </row>
    <row r="240" spans="1:37" ht="12.75">
      <c r="A240" s="173" t="s">
        <v>13</v>
      </c>
      <c r="B240" s="161"/>
      <c r="C240" s="180">
        <v>0.0165186571105776</v>
      </c>
      <c r="D240" s="180">
        <v>0.0102462222002542</v>
      </c>
      <c r="E240" s="180">
        <v>0.0054942904956926985</v>
      </c>
      <c r="H240" s="173" t="s">
        <v>6</v>
      </c>
      <c r="I240" s="161" t="s">
        <v>141</v>
      </c>
      <c r="J240" s="180">
        <v>0.00841310482506598</v>
      </c>
      <c r="K240" s="180">
        <v>0.0036747370914258647</v>
      </c>
      <c r="L240" s="180">
        <v>0.0029468975434797317</v>
      </c>
      <c r="N240" s="299" t="s">
        <v>6</v>
      </c>
      <c r="O240" s="399">
        <v>7.055</v>
      </c>
      <c r="P240" s="180">
        <v>0.00841310482506598</v>
      </c>
      <c r="Q240" s="180">
        <v>0.0036747370914258647</v>
      </c>
      <c r="R240" s="180">
        <v>0.0029468975434797317</v>
      </c>
      <c r="S240" s="396">
        <v>0.0055536039603960394</v>
      </c>
      <c r="U240" s="299" t="s">
        <v>9</v>
      </c>
      <c r="V240" s="399">
        <v>13.995</v>
      </c>
      <c r="W240" s="180">
        <v>0.01165858420351033</v>
      </c>
      <c r="X240" s="180">
        <v>0.00624878138191513</v>
      </c>
      <c r="Y240" s="180">
        <v>0.0035691251944012436</v>
      </c>
      <c r="Z240" s="396">
        <v>0.006012932862190813</v>
      </c>
      <c r="AD240" s="174" t="s">
        <v>11</v>
      </c>
      <c r="AE240" s="61"/>
      <c r="AF240" s="328"/>
      <c r="AG240" s="62"/>
      <c r="AH240" s="249" t="s">
        <v>94</v>
      </c>
      <c r="AI240" s="248" t="s">
        <v>73</v>
      </c>
      <c r="AJ240" s="249" t="s">
        <v>96</v>
      </c>
      <c r="AK240" s="338" t="s">
        <v>112</v>
      </c>
    </row>
    <row r="241" spans="1:37" ht="12.75">
      <c r="A241" s="176" t="s">
        <v>188</v>
      </c>
      <c r="B241" s="177"/>
      <c r="C241" s="180">
        <v>0.018165289256198345</v>
      </c>
      <c r="D241" s="180">
        <v>0.007266115702479339</v>
      </c>
      <c r="E241" s="180">
        <v>0.0036330578512396693</v>
      </c>
      <c r="H241" s="173" t="s">
        <v>7</v>
      </c>
      <c r="I241" s="161" t="s">
        <v>196</v>
      </c>
      <c r="J241" s="180">
        <v>0.030660288461538465</v>
      </c>
      <c r="K241" s="180">
        <v>0.025905000000000004</v>
      </c>
      <c r="L241" s="180">
        <v>0.018568269230769232</v>
      </c>
      <c r="N241" s="299" t="s">
        <v>7</v>
      </c>
      <c r="O241" s="399">
        <v>14.295</v>
      </c>
      <c r="P241" s="180">
        <v>0.030660288461538465</v>
      </c>
      <c r="Q241" s="180">
        <v>0.025905000000000004</v>
      </c>
      <c r="R241" s="180">
        <v>0.018568269230769232</v>
      </c>
      <c r="S241" s="396">
        <v>0.00677</v>
      </c>
      <c r="U241" s="299" t="s">
        <v>5</v>
      </c>
      <c r="V241" s="399">
        <v>14.06</v>
      </c>
      <c r="W241" s="180">
        <v>0.027812410877979223</v>
      </c>
      <c r="X241" s="180">
        <v>0.01556727439397026</v>
      </c>
      <c r="Y241" s="180">
        <v>0.011381620492972092</v>
      </c>
      <c r="Z241" s="396">
        <v>0.019310370255998518</v>
      </c>
      <c r="AD241" s="173" t="s">
        <v>12</v>
      </c>
      <c r="AE241" s="340">
        <f aca="true" t="shared" si="244" ref="AE241:AE260">AC206+AL206</f>
        <v>5340</v>
      </c>
      <c r="AF241" s="341">
        <f aca="true" t="shared" si="245" ref="AF241:AF260">AD206+AM206</f>
        <v>13350</v>
      </c>
      <c r="AG241" s="341">
        <f aca="true" t="shared" si="246" ref="AG241:AG260">AE206+AN206</f>
        <v>26700</v>
      </c>
      <c r="AH241" s="341">
        <f aca="true" t="shared" si="247" ref="AH241:AH260">AF206+AO206</f>
        <v>8010.000000000001</v>
      </c>
      <c r="AI241" s="252">
        <f aca="true" t="shared" si="248" ref="AI241:AI260">AG206+AP206</f>
        <v>7784.256559766765</v>
      </c>
      <c r="AJ241" s="162">
        <f aca="true" t="shared" si="249" ref="AJ241:AJ260">AH206+AQ206</f>
        <v>7724.204435872711</v>
      </c>
      <c r="AK241" s="339">
        <f aca="true" t="shared" si="250" ref="AK241:AK260">AI206+AR206</f>
        <v>6528.054196865294</v>
      </c>
    </row>
    <row r="242" spans="1:37" ht="12.75">
      <c r="A242" s="173" t="s">
        <v>16</v>
      </c>
      <c r="B242" s="161"/>
      <c r="C242" s="180">
        <v>0.021430738119312436</v>
      </c>
      <c r="D242" s="180">
        <v>0.01273938321536906</v>
      </c>
      <c r="E242" s="180">
        <v>0.007286450960566229</v>
      </c>
      <c r="H242" s="173" t="s">
        <v>189</v>
      </c>
      <c r="I242" s="161" t="s">
        <v>193</v>
      </c>
      <c r="J242" s="180">
        <v>0.00994532516961774</v>
      </c>
      <c r="K242" s="180">
        <v>0.004801464256164158</v>
      </c>
      <c r="L242" s="180">
        <v>0.002400732128082079</v>
      </c>
      <c r="N242" s="299" t="s">
        <v>189</v>
      </c>
      <c r="O242" s="399">
        <v>14.975</v>
      </c>
      <c r="P242" s="180">
        <v>0.00994532516961774</v>
      </c>
      <c r="Q242" s="180">
        <v>0.004801464256164158</v>
      </c>
      <c r="R242" s="180">
        <v>0.002400732128082079</v>
      </c>
      <c r="S242" s="396">
        <v>0.005104</v>
      </c>
      <c r="U242" s="299" t="s">
        <v>3</v>
      </c>
      <c r="V242" s="399">
        <v>14.2075</v>
      </c>
      <c r="W242" s="180">
        <v>0.005442561724526883</v>
      </c>
      <c r="X242" s="180">
        <v>0.004304759368341897</v>
      </c>
      <c r="Y242" s="180">
        <v>0.003876644629652839</v>
      </c>
      <c r="Z242" s="396">
        <v>0.006769893399560608</v>
      </c>
      <c r="AD242" s="173" t="s">
        <v>13</v>
      </c>
      <c r="AE242" s="340">
        <f t="shared" si="244"/>
        <v>12775</v>
      </c>
      <c r="AF242" s="341">
        <f t="shared" si="245"/>
        <v>31815</v>
      </c>
      <c r="AG242" s="341">
        <f t="shared" si="246"/>
        <v>63350</v>
      </c>
      <c r="AH242" s="341">
        <f t="shared" si="247"/>
        <v>21830.633333333335</v>
      </c>
      <c r="AI242" s="252">
        <f t="shared" si="248"/>
        <v>20930.616810482585</v>
      </c>
      <c r="AJ242" s="162">
        <f t="shared" si="249"/>
        <v>21133.23652791223</v>
      </c>
      <c r="AK242" s="339">
        <f t="shared" si="250"/>
        <v>17593.83798545403</v>
      </c>
    </row>
    <row r="243" spans="1:37" ht="12.75">
      <c r="A243" s="173" t="s">
        <v>212</v>
      </c>
      <c r="B243" s="161"/>
      <c r="C243" s="180">
        <v>0.027282949434373725</v>
      </c>
      <c r="D243" s="180">
        <v>0.010913179773749488</v>
      </c>
      <c r="E243" s="180">
        <v>0.005456589886874744</v>
      </c>
      <c r="H243" s="176" t="s">
        <v>8</v>
      </c>
      <c r="I243" s="177" t="s">
        <v>142</v>
      </c>
      <c r="J243" s="180">
        <v>0.010051812218000476</v>
      </c>
      <c r="K243" s="180">
        <v>0.004852329019235336</v>
      </c>
      <c r="L243" s="180">
        <v>0.003254273331750178</v>
      </c>
      <c r="N243" s="299" t="s">
        <v>8</v>
      </c>
      <c r="O243" s="399">
        <v>2.9025</v>
      </c>
      <c r="P243" s="180">
        <v>0.010051812218000476</v>
      </c>
      <c r="Q243" s="180">
        <v>0.004852329019235336</v>
      </c>
      <c r="R243" s="180">
        <v>0.003254273331750178</v>
      </c>
      <c r="S243" s="396">
        <v>0.008377143780735239</v>
      </c>
      <c r="U243" s="299" t="s">
        <v>2</v>
      </c>
      <c r="V243" s="399">
        <v>14.27</v>
      </c>
      <c r="W243" s="180">
        <v>0.013375375269461079</v>
      </c>
      <c r="X243" s="180">
        <v>0.011089276646706588</v>
      </c>
      <c r="Y243" s="180">
        <v>0.010327215568862276</v>
      </c>
      <c r="Z243" s="396">
        <v>0.011962772028195148</v>
      </c>
      <c r="AD243" s="299" t="s">
        <v>154</v>
      </c>
      <c r="AE243" s="340">
        <f t="shared" si="244"/>
        <v>17</v>
      </c>
      <c r="AF243" s="341">
        <f t="shared" si="245"/>
        <v>17</v>
      </c>
      <c r="AG243" s="341">
        <f t="shared" si="246"/>
        <v>17</v>
      </c>
      <c r="AH243" s="341">
        <f t="shared" si="247"/>
        <v>17</v>
      </c>
      <c r="AI243" s="252">
        <f t="shared" si="248"/>
        <v>29.411764705882355</v>
      </c>
      <c r="AJ243" s="162">
        <f t="shared" si="249"/>
        <v>23.035230352303522</v>
      </c>
      <c r="AK243" s="339">
        <f t="shared" si="250"/>
        <v>52.8906910181273</v>
      </c>
    </row>
    <row r="244" spans="1:37" ht="12.75">
      <c r="A244" s="173" t="s">
        <v>5</v>
      </c>
      <c r="B244" s="161"/>
      <c r="C244" s="180">
        <v>0.027812410877979223</v>
      </c>
      <c r="D244" s="180">
        <v>0.01556727439397026</v>
      </c>
      <c r="E244" s="180">
        <v>0.011381620492972092</v>
      </c>
      <c r="H244" s="176" t="s">
        <v>188</v>
      </c>
      <c r="I244" s="177" t="s">
        <v>194</v>
      </c>
      <c r="J244" s="180">
        <v>0.018165289256198345</v>
      </c>
      <c r="K244" s="180">
        <v>0.007266115702479339</v>
      </c>
      <c r="L244" s="180">
        <v>0.0036330578512396693</v>
      </c>
      <c r="N244" s="299" t="s">
        <v>188</v>
      </c>
      <c r="O244" s="399">
        <v>5.7975</v>
      </c>
      <c r="P244" s="180">
        <v>0.018165289256198345</v>
      </c>
      <c r="Q244" s="180">
        <v>0.007266115702479339</v>
      </c>
      <c r="R244" s="180">
        <v>0.0036330578512396693</v>
      </c>
      <c r="S244" s="396">
        <v>0.0042</v>
      </c>
      <c r="U244" s="299" t="s">
        <v>7</v>
      </c>
      <c r="V244" s="399">
        <v>14.295</v>
      </c>
      <c r="W244" s="180">
        <v>0.030660288461538465</v>
      </c>
      <c r="X244" s="180">
        <v>0.025905000000000004</v>
      </c>
      <c r="Y244" s="180">
        <v>0.018568269230769232</v>
      </c>
      <c r="Z244" s="396">
        <v>0.00677</v>
      </c>
      <c r="AD244" s="314" t="s">
        <v>14</v>
      </c>
      <c r="AE244" s="340">
        <f t="shared" si="244"/>
        <v>1967.8999999999999</v>
      </c>
      <c r="AF244" s="341">
        <f t="shared" si="245"/>
        <v>4442.9</v>
      </c>
      <c r="AG244" s="341">
        <f t="shared" si="246"/>
        <v>8567.9</v>
      </c>
      <c r="AH244" s="341">
        <f t="shared" si="247"/>
        <v>3976.6512500000003</v>
      </c>
      <c r="AI244" s="252">
        <f t="shared" si="248"/>
        <v>2928.314617083947</v>
      </c>
      <c r="AJ244" s="162">
        <f t="shared" si="249"/>
        <v>3010.3340272520823</v>
      </c>
      <c r="AK244" s="339">
        <f t="shared" si="250"/>
        <v>2909.2692161960777</v>
      </c>
    </row>
    <row r="245" spans="1:37" ht="12.75">
      <c r="A245" s="173" t="s">
        <v>7</v>
      </c>
      <c r="B245" s="161"/>
      <c r="C245" s="180">
        <v>0.030660288461538465</v>
      </c>
      <c r="D245" s="180">
        <v>0.025905000000000004</v>
      </c>
      <c r="E245" s="180">
        <v>0.018568269230769232</v>
      </c>
      <c r="H245" s="173" t="s">
        <v>16</v>
      </c>
      <c r="I245" s="161" t="s">
        <v>222</v>
      </c>
      <c r="J245" s="180">
        <v>0.021430738119312436</v>
      </c>
      <c r="K245" s="180">
        <v>0.01273938321536906</v>
      </c>
      <c r="L245" s="180">
        <v>0.007286450960566229</v>
      </c>
      <c r="N245" s="299" t="s">
        <v>16</v>
      </c>
      <c r="O245" s="399">
        <v>11.855</v>
      </c>
      <c r="P245" s="180">
        <v>0.021430738119312436</v>
      </c>
      <c r="Q245" s="180">
        <v>0.01273938321536906</v>
      </c>
      <c r="R245" s="180">
        <v>0.007286450960566229</v>
      </c>
      <c r="S245" s="396">
        <v>0.0081</v>
      </c>
      <c r="U245" s="299" t="s">
        <v>13</v>
      </c>
      <c r="V245" s="399">
        <v>14.695</v>
      </c>
      <c r="W245" s="180">
        <v>0.0165186571105776</v>
      </c>
      <c r="X245" s="180">
        <v>0.0102462222002542</v>
      </c>
      <c r="Y245" s="180">
        <v>0.0054942904956926985</v>
      </c>
      <c r="Z245" s="396">
        <v>0.014822910179640719</v>
      </c>
      <c r="AD245" s="299" t="s">
        <v>0</v>
      </c>
      <c r="AE245" s="340">
        <f t="shared" si="244"/>
        <v>90</v>
      </c>
      <c r="AF245" s="341">
        <f t="shared" si="245"/>
        <v>2745</v>
      </c>
      <c r="AG245" s="341">
        <f t="shared" si="246"/>
        <v>15405</v>
      </c>
      <c r="AH245" s="341">
        <f t="shared" si="247"/>
        <v>5163.06</v>
      </c>
      <c r="AI245" s="252">
        <f t="shared" si="248"/>
        <v>4921.88751191611</v>
      </c>
      <c r="AJ245" s="162">
        <f t="shared" si="249"/>
        <v>4745.459558823529</v>
      </c>
      <c r="AK245" s="339">
        <f t="shared" si="250"/>
        <v>3498.4911725243414</v>
      </c>
    </row>
    <row r="246" spans="1:37" ht="12.75">
      <c r="A246" s="173" t="s">
        <v>15</v>
      </c>
      <c r="B246" s="161"/>
      <c r="C246" s="180">
        <v>0.043829929988331386</v>
      </c>
      <c r="D246" s="180">
        <v>0.035668494749124854</v>
      </c>
      <c r="E246" s="180">
        <v>0.03294801633605601</v>
      </c>
      <c r="H246" s="173" t="s">
        <v>9</v>
      </c>
      <c r="I246" s="161" t="s">
        <v>144</v>
      </c>
      <c r="J246" s="180">
        <v>0.01165858420351033</v>
      </c>
      <c r="K246" s="180">
        <v>0.00624878138191513</v>
      </c>
      <c r="L246" s="180">
        <v>0.0035691251944012436</v>
      </c>
      <c r="N246" s="299" t="s">
        <v>9</v>
      </c>
      <c r="O246" s="399">
        <v>13.995</v>
      </c>
      <c r="P246" s="180">
        <v>0.01165858420351033</v>
      </c>
      <c r="Q246" s="180">
        <v>0.00624878138191513</v>
      </c>
      <c r="R246" s="180">
        <v>0.0035691251944012436</v>
      </c>
      <c r="S246" s="396">
        <v>0.006012932862190813</v>
      </c>
      <c r="U246" s="299" t="s">
        <v>189</v>
      </c>
      <c r="V246" s="399">
        <v>14.975</v>
      </c>
      <c r="W246" s="180">
        <v>0.00994532516961774</v>
      </c>
      <c r="X246" s="180">
        <v>0.004801464256164158</v>
      </c>
      <c r="Y246" s="180">
        <v>0.002400732128082079</v>
      </c>
      <c r="Z246" s="396">
        <v>0.005104</v>
      </c>
      <c r="AD246" s="299" t="s">
        <v>1</v>
      </c>
      <c r="AE246" s="340">
        <f t="shared" si="244"/>
        <v>4095.8</v>
      </c>
      <c r="AF246" s="341">
        <f t="shared" si="245"/>
        <v>10095.8</v>
      </c>
      <c r="AG246" s="341">
        <f t="shared" si="246"/>
        <v>20095.8</v>
      </c>
      <c r="AH246" s="341">
        <f t="shared" si="247"/>
        <v>5046.04</v>
      </c>
      <c r="AI246" s="252">
        <f t="shared" si="248"/>
        <v>4136.098360655737</v>
      </c>
      <c r="AJ246" s="162">
        <f t="shared" si="249"/>
        <v>4473.4397163120575</v>
      </c>
      <c r="AK246" s="339">
        <f t="shared" si="250"/>
        <v>4606.332683355994</v>
      </c>
    </row>
    <row r="247" spans="1:37" ht="12.75">
      <c r="A247" s="181" t="s">
        <v>213</v>
      </c>
      <c r="B247" s="182"/>
      <c r="C247" s="183">
        <v>0.06958686730506156</v>
      </c>
      <c r="D247" s="183">
        <v>0.052657284541723665</v>
      </c>
      <c r="E247" s="183">
        <v>0.0374109952120383</v>
      </c>
      <c r="H247" s="181" t="s">
        <v>10</v>
      </c>
      <c r="I247" s="182" t="s">
        <v>145</v>
      </c>
      <c r="J247" s="183">
        <v>0.0046214529612622155</v>
      </c>
      <c r="K247" s="183">
        <v>0.0018485811845048864</v>
      </c>
      <c r="L247" s="183">
        <v>0.0009242905922524432</v>
      </c>
      <c r="N247" s="316" t="s">
        <v>10</v>
      </c>
      <c r="O247" s="400">
        <v>1.172</v>
      </c>
      <c r="P247" s="183">
        <v>0.0046214529612622155</v>
      </c>
      <c r="Q247" s="183">
        <v>0.0018485811845048864</v>
      </c>
      <c r="R247" s="183">
        <v>0.0009242905922524432</v>
      </c>
      <c r="S247" s="398">
        <v>0.003389830508474576</v>
      </c>
      <c r="U247" s="316" t="s">
        <v>15</v>
      </c>
      <c r="V247" s="400">
        <v>18</v>
      </c>
      <c r="W247" s="183"/>
      <c r="X247" s="183"/>
      <c r="Y247" s="183"/>
      <c r="Z247" s="398"/>
      <c r="AD247" s="299" t="s">
        <v>2</v>
      </c>
      <c r="AE247" s="340">
        <f t="shared" si="244"/>
        <v>5195</v>
      </c>
      <c r="AF247" s="341">
        <f t="shared" si="245"/>
        <v>12987.5</v>
      </c>
      <c r="AG247" s="341">
        <f t="shared" si="246"/>
        <v>25975</v>
      </c>
      <c r="AH247" s="341">
        <f t="shared" si="247"/>
        <v>11773.423998746624</v>
      </c>
      <c r="AI247" s="252">
        <f t="shared" si="248"/>
        <v>10851.082026494585</v>
      </c>
      <c r="AJ247" s="162">
        <f t="shared" si="249"/>
        <v>11013.492982924812</v>
      </c>
      <c r="AK247" s="339">
        <f t="shared" si="250"/>
        <v>10728.62074328899</v>
      </c>
    </row>
    <row r="248" spans="1:37" ht="15.75">
      <c r="A248" s="214" t="s">
        <v>27</v>
      </c>
      <c r="B248" s="260"/>
      <c r="C248" s="219">
        <v>0.018273040176896235</v>
      </c>
      <c r="D248" s="219">
        <v>0.011592503496494665</v>
      </c>
      <c r="E248" s="289">
        <v>0.008330623488260653</v>
      </c>
      <c r="H248" s="214" t="s">
        <v>27</v>
      </c>
      <c r="I248" s="260"/>
      <c r="J248" s="219">
        <v>0.018273040176896235</v>
      </c>
      <c r="K248" s="219">
        <v>0.011592503496494665</v>
      </c>
      <c r="L248" s="289">
        <v>0.008330623488260653</v>
      </c>
      <c r="AD248" s="299" t="s">
        <v>3</v>
      </c>
      <c r="AE248" s="340">
        <f t="shared" si="244"/>
        <v>3954.9000000000005</v>
      </c>
      <c r="AF248" s="341">
        <f t="shared" si="245"/>
        <v>9700.4</v>
      </c>
      <c r="AG248" s="341">
        <f t="shared" si="246"/>
        <v>19275.6</v>
      </c>
      <c r="AH248" s="341">
        <f t="shared" si="247"/>
        <v>5137.036625</v>
      </c>
      <c r="AI248" s="252">
        <f t="shared" si="248"/>
        <v>4934.713376561</v>
      </c>
      <c r="AJ248" s="162">
        <f t="shared" si="249"/>
        <v>4846.260966981132</v>
      </c>
      <c r="AK248" s="339">
        <f t="shared" si="250"/>
        <v>3674.117528477096</v>
      </c>
    </row>
    <row r="249" spans="17:37" ht="13.5" thickBot="1">
      <c r="Q249" s="294" t="s">
        <v>226</v>
      </c>
      <c r="AD249" s="299" t="s">
        <v>15</v>
      </c>
      <c r="AE249" s="340">
        <f t="shared" si="244"/>
        <v>12063</v>
      </c>
      <c r="AF249" s="341">
        <f t="shared" si="245"/>
        <v>30565</v>
      </c>
      <c r="AG249" s="341">
        <f t="shared" si="246"/>
        <v>61413</v>
      </c>
      <c r="AH249" s="341">
        <f t="shared" si="247"/>
        <v>16051.75</v>
      </c>
      <c r="AI249" s="252">
        <f t="shared" si="248"/>
        <v>18282.17539863326</v>
      </c>
      <c r="AJ249" s="162">
        <f t="shared" si="249"/>
        <v>18906.654888103654</v>
      </c>
      <c r="AK249" s="339">
        <f t="shared" si="250"/>
        <v>21377.671951575263</v>
      </c>
    </row>
    <row r="250" spans="15:37" ht="12.75">
      <c r="O250" s="401" t="s">
        <v>216</v>
      </c>
      <c r="Q250" s="186"/>
      <c r="R250" s="186" t="s">
        <v>218</v>
      </c>
      <c r="S250" s="186">
        <v>100000</v>
      </c>
      <c r="T250" s="186">
        <v>250000</v>
      </c>
      <c r="U250" s="186">
        <v>500000</v>
      </c>
      <c r="V250" s="186" t="s">
        <v>94</v>
      </c>
      <c r="W250" s="357" t="s">
        <v>225</v>
      </c>
      <c r="X250" s="357"/>
      <c r="Y250" s="357"/>
      <c r="Z250" s="357"/>
      <c r="AA250" s="357"/>
      <c r="AB250" s="357"/>
      <c r="AC250" s="357"/>
      <c r="AD250" s="358" t="s">
        <v>19</v>
      </c>
      <c r="AE250" s="402">
        <f t="shared" si="244"/>
        <v>5468.8</v>
      </c>
      <c r="AF250" s="367">
        <f t="shared" si="245"/>
        <v>14468.8</v>
      </c>
      <c r="AG250" s="367">
        <f t="shared" si="246"/>
        <v>29468.8</v>
      </c>
      <c r="AH250" s="367">
        <f t="shared" si="247"/>
        <v>5468.8</v>
      </c>
      <c r="AI250" s="252">
        <f t="shared" si="248"/>
        <v>8598.74213836478</v>
      </c>
      <c r="AJ250" s="162">
        <f t="shared" si="249"/>
        <v>8950.572831423895</v>
      </c>
      <c r="AK250" s="339">
        <f t="shared" si="250"/>
        <v>21346.836114911082</v>
      </c>
    </row>
    <row r="251" spans="15:37" ht="13.5" thickBot="1">
      <c r="O251" s="403" t="s">
        <v>217</v>
      </c>
      <c r="Q251" s="404" t="s">
        <v>218</v>
      </c>
      <c r="R251" s="404">
        <v>1</v>
      </c>
      <c r="S251" s="404"/>
      <c r="T251" s="404"/>
      <c r="U251" s="404"/>
      <c r="V251" s="404"/>
      <c r="W251" s="294">
        <f>+R251^2</f>
        <v>1</v>
      </c>
      <c r="AD251" s="299" t="s">
        <v>4</v>
      </c>
      <c r="AE251" s="340">
        <f t="shared" si="244"/>
        <v>375</v>
      </c>
      <c r="AF251" s="341">
        <f t="shared" si="245"/>
        <v>10375</v>
      </c>
      <c r="AG251" s="341">
        <f t="shared" si="246"/>
        <v>38125</v>
      </c>
      <c r="AH251" s="341">
        <f t="shared" si="247"/>
        <v>16292.41</v>
      </c>
      <c r="AI251" s="252">
        <f t="shared" si="248"/>
        <v>13202.925445705025</v>
      </c>
      <c r="AJ251" s="162">
        <f t="shared" si="249"/>
        <v>13531.901993355483</v>
      </c>
      <c r="AK251" s="339">
        <f t="shared" si="250"/>
        <v>11538.077221170848</v>
      </c>
    </row>
    <row r="252" spans="9:37" ht="12.75">
      <c r="I252" s="401" t="s">
        <v>216</v>
      </c>
      <c r="O252" s="403" t="s">
        <v>218</v>
      </c>
      <c r="Q252" s="404">
        <v>100000</v>
      </c>
      <c r="R252" s="404">
        <v>0.46612728210812854</v>
      </c>
      <c r="S252" s="404">
        <v>1</v>
      </c>
      <c r="T252" s="404"/>
      <c r="U252" s="404"/>
      <c r="V252" s="404"/>
      <c r="W252" s="294">
        <f>+R252^2</f>
        <v>0.21727464312551084</v>
      </c>
      <c r="AD252" s="299" t="s">
        <v>5</v>
      </c>
      <c r="AE252" s="340">
        <f t="shared" si="244"/>
        <v>2154.897</v>
      </c>
      <c r="AF252" s="341">
        <f t="shared" si="245"/>
        <v>4404.897</v>
      </c>
      <c r="AG252" s="341">
        <f t="shared" si="246"/>
        <v>8154.897</v>
      </c>
      <c r="AH252" s="341">
        <f t="shared" si="247"/>
        <v>2597.79</v>
      </c>
      <c r="AI252" s="252">
        <f t="shared" si="248"/>
        <v>2531.9590643274855</v>
      </c>
      <c r="AJ252" s="162">
        <f t="shared" si="249"/>
        <v>2582.2962226640157</v>
      </c>
      <c r="AK252" s="339">
        <f t="shared" si="250"/>
        <v>3019.950719596659</v>
      </c>
    </row>
    <row r="253" spans="9:37" ht="12.75">
      <c r="I253" s="403" t="s">
        <v>217</v>
      </c>
      <c r="M253" s="405" t="s">
        <v>27</v>
      </c>
      <c r="O253" s="290">
        <f>AVERAGE(O231,O233,O247)</f>
        <v>1.4698333333333335</v>
      </c>
      <c r="Q253" s="404">
        <v>250000</v>
      </c>
      <c r="R253" s="404">
        <v>0.5603194653319813</v>
      </c>
      <c r="S253" s="404">
        <v>0.8865279898508358</v>
      </c>
      <c r="T253" s="404">
        <v>1</v>
      </c>
      <c r="U253" s="404"/>
      <c r="V253" s="404"/>
      <c r="W253" s="294">
        <f>+R253^2</f>
        <v>0.3139579032299174</v>
      </c>
      <c r="AD253" s="299" t="s">
        <v>6</v>
      </c>
      <c r="AE253" s="340">
        <f t="shared" si="244"/>
        <v>6164.1</v>
      </c>
      <c r="AF253" s="341">
        <f t="shared" si="245"/>
        <v>15164.1</v>
      </c>
      <c r="AG253" s="341">
        <f t="shared" si="246"/>
        <v>30164.1</v>
      </c>
      <c r="AH253" s="341">
        <f t="shared" si="247"/>
        <v>12284.1</v>
      </c>
      <c r="AI253" s="252">
        <f t="shared" si="248"/>
        <v>11676.90114068441</v>
      </c>
      <c r="AJ253" s="162">
        <f t="shared" si="249"/>
        <v>11545.206766917292</v>
      </c>
      <c r="AK253" s="339">
        <f t="shared" si="250"/>
        <v>9488.027025106585</v>
      </c>
    </row>
    <row r="254" spans="8:37" ht="12.75">
      <c r="H254" s="24"/>
      <c r="I254" s="403" t="s">
        <v>218</v>
      </c>
      <c r="J254" s="334">
        <v>100000</v>
      </c>
      <c r="K254" s="335">
        <v>250000</v>
      </c>
      <c r="L254" s="335">
        <v>500000</v>
      </c>
      <c r="M254" s="405" t="s">
        <v>94</v>
      </c>
      <c r="O254" s="291">
        <f>AVERAGE(O230,O232,O238,O243,O244)</f>
        <v>4.828449999999999</v>
      </c>
      <c r="Q254" s="404">
        <v>500000</v>
      </c>
      <c r="R254" s="404">
        <v>0.5494213870682022</v>
      </c>
      <c r="S254" s="404">
        <v>0.7596376925230617</v>
      </c>
      <c r="T254" s="404">
        <v>0.9590709589436872</v>
      </c>
      <c r="U254" s="404">
        <v>1</v>
      </c>
      <c r="V254" s="404"/>
      <c r="W254" s="294">
        <f>+R254^2</f>
        <v>0.3018638605679473</v>
      </c>
      <c r="AD254" s="299" t="s">
        <v>7</v>
      </c>
      <c r="AE254" s="340">
        <f t="shared" si="244"/>
        <v>11467.5</v>
      </c>
      <c r="AF254" s="341">
        <f t="shared" si="245"/>
        <v>28593.4</v>
      </c>
      <c r="AG254" s="341">
        <f t="shared" si="246"/>
        <v>57137.5</v>
      </c>
      <c r="AH254" s="341">
        <f t="shared" si="247"/>
        <v>12067.5</v>
      </c>
      <c r="AI254" s="252">
        <f t="shared" si="248"/>
        <v>20247.48322147651</v>
      </c>
      <c r="AJ254" s="162">
        <f t="shared" si="249"/>
        <v>22101.64835164835</v>
      </c>
      <c r="AK254" s="339">
        <f t="shared" si="250"/>
        <v>52974.004326923074</v>
      </c>
    </row>
    <row r="255" spans="8:37" ht="13.5" thickBot="1">
      <c r="H255" s="406" t="s">
        <v>97</v>
      </c>
      <c r="I255" s="290">
        <v>1.46983333333333</v>
      </c>
      <c r="J255" s="47">
        <v>0.0082664864288667</v>
      </c>
      <c r="K255" s="47">
        <v>0.003306594571546681</v>
      </c>
      <c r="L255" s="407">
        <v>0.00165329728577334</v>
      </c>
      <c r="M255" s="408">
        <v>0.0059092824391032</v>
      </c>
      <c r="O255" s="291">
        <f>AVERAGE(O240)</f>
        <v>7.055</v>
      </c>
      <c r="Q255" s="409" t="s">
        <v>94</v>
      </c>
      <c r="R255" s="409">
        <v>0.44903389996566384</v>
      </c>
      <c r="S255" s="409">
        <v>0.4589566277322522</v>
      </c>
      <c r="T255" s="409">
        <v>0.42770241183077246</v>
      </c>
      <c r="U255" s="409">
        <v>0.4566786551666834</v>
      </c>
      <c r="V255" s="409">
        <v>1</v>
      </c>
      <c r="W255" s="294">
        <f>+R255^2</f>
        <v>0.2016314433183738</v>
      </c>
      <c r="AD255" s="299" t="s">
        <v>189</v>
      </c>
      <c r="AE255" s="340">
        <f t="shared" si="244"/>
        <v>1439.5</v>
      </c>
      <c r="AF255" s="341">
        <f t="shared" si="245"/>
        <v>3269.5</v>
      </c>
      <c r="AG255" s="341">
        <f t="shared" si="246"/>
        <v>6319.5</v>
      </c>
      <c r="AH255" s="341">
        <f t="shared" si="247"/>
        <v>1439.5</v>
      </c>
      <c r="AI255" s="252">
        <f t="shared" si="248"/>
        <v>1689.5539906103286</v>
      </c>
      <c r="AJ255" s="162">
        <f t="shared" si="249"/>
        <v>2018.9340813464237</v>
      </c>
      <c r="AK255" s="339">
        <f t="shared" si="250"/>
        <v>2718.804112195929</v>
      </c>
    </row>
    <row r="256" spans="8:37" ht="12.75">
      <c r="H256" s="340" t="s">
        <v>102</v>
      </c>
      <c r="I256" s="291">
        <v>4.828449999999999</v>
      </c>
      <c r="J256" s="49">
        <v>0.014043256960322329</v>
      </c>
      <c r="K256" s="49">
        <v>0.00652750389405223</v>
      </c>
      <c r="L256" s="205">
        <v>0.004113134664643548</v>
      </c>
      <c r="M256" s="410">
        <v>0.006764416161688611</v>
      </c>
      <c r="O256" s="292">
        <f>AVERAGE(O228,O229,O234,O235,O239,O241,O242,O245,O246)</f>
        <v>13.706944444444444</v>
      </c>
      <c r="AD256" s="315" t="s">
        <v>8</v>
      </c>
      <c r="AE256" s="340">
        <f t="shared" si="244"/>
        <v>251.1</v>
      </c>
      <c r="AF256" s="341">
        <f t="shared" si="245"/>
        <v>3083.1</v>
      </c>
      <c r="AG256" s="341">
        <f t="shared" si="246"/>
        <v>15874.4</v>
      </c>
      <c r="AH256" s="341">
        <f t="shared" si="247"/>
        <v>2393.689066666667</v>
      </c>
      <c r="AI256" s="252">
        <f t="shared" si="248"/>
        <v>2281.877089291389</v>
      </c>
      <c r="AJ256" s="162">
        <f t="shared" si="249"/>
        <v>2200.081862745098</v>
      </c>
      <c r="AK256" s="339">
        <f t="shared" si="250"/>
        <v>1621.9645073854192</v>
      </c>
    </row>
    <row r="257" spans="8:37" ht="12.75">
      <c r="H257" s="340" t="s">
        <v>6</v>
      </c>
      <c r="I257" s="291">
        <v>7.055</v>
      </c>
      <c r="J257" s="49">
        <v>0.00841310482506598</v>
      </c>
      <c r="K257" s="49">
        <v>0.0036747370914258647</v>
      </c>
      <c r="L257" s="205">
        <v>0.0029468975434797317</v>
      </c>
      <c r="M257" s="410">
        <v>0.0055536039603960394</v>
      </c>
      <c r="AD257" s="315" t="s">
        <v>188</v>
      </c>
      <c r="AE257" s="340">
        <f t="shared" si="244"/>
        <v>60</v>
      </c>
      <c r="AF257" s="341">
        <f t="shared" si="245"/>
        <v>60</v>
      </c>
      <c r="AG257" s="341">
        <f t="shared" si="246"/>
        <v>60</v>
      </c>
      <c r="AH257" s="341">
        <f t="shared" si="247"/>
        <v>60</v>
      </c>
      <c r="AI257" s="252">
        <f t="shared" si="248"/>
        <v>104.16666666666667</v>
      </c>
      <c r="AJ257" s="162">
        <f t="shared" si="249"/>
        <v>109.09090909090908</v>
      </c>
      <c r="AK257" s="339">
        <f t="shared" si="250"/>
        <v>251.53719008264463</v>
      </c>
    </row>
    <row r="258" spans="8:37" ht="12.75">
      <c r="H258" s="378" t="s">
        <v>224</v>
      </c>
      <c r="I258" s="292">
        <v>13.706944444444446</v>
      </c>
      <c r="J258" s="384">
        <v>0.016512795259028226</v>
      </c>
      <c r="K258" s="384">
        <v>0.010810250040301969</v>
      </c>
      <c r="L258" s="411">
        <v>0.00753122172145569</v>
      </c>
      <c r="M258" s="412">
        <v>0.009921924796670027</v>
      </c>
      <c r="AD258" s="299" t="s">
        <v>16</v>
      </c>
      <c r="AE258" s="340">
        <f t="shared" si="244"/>
        <v>2123</v>
      </c>
      <c r="AF258" s="341">
        <f t="shared" si="245"/>
        <v>5123</v>
      </c>
      <c r="AG258" s="341">
        <f t="shared" si="246"/>
        <v>10123</v>
      </c>
      <c r="AH258" s="341">
        <f t="shared" si="247"/>
        <v>2123</v>
      </c>
      <c r="AI258" s="252">
        <f t="shared" si="248"/>
        <v>2778.7958115183246</v>
      </c>
      <c r="AJ258" s="162">
        <f t="shared" si="249"/>
        <v>2904.2407660738713</v>
      </c>
      <c r="AK258" s="339">
        <f t="shared" si="250"/>
        <v>5444.525446579036</v>
      </c>
    </row>
    <row r="259" spans="30:37" ht="12.75">
      <c r="AD259" s="299" t="s">
        <v>9</v>
      </c>
      <c r="AE259" s="340">
        <f t="shared" si="244"/>
        <v>8431.7</v>
      </c>
      <c r="AF259" s="341">
        <f t="shared" si="245"/>
        <v>20776.400000000005</v>
      </c>
      <c r="AG259" s="341">
        <f t="shared" si="246"/>
        <v>41334.200000000004</v>
      </c>
      <c r="AH259" s="341">
        <f t="shared" si="247"/>
        <v>14409.00374</v>
      </c>
      <c r="AI259" s="252">
        <f t="shared" si="248"/>
        <v>16010.004155555556</v>
      </c>
      <c r="AJ259" s="162">
        <f t="shared" si="249"/>
        <v>15974.505254988915</v>
      </c>
      <c r="AK259" s="339">
        <f t="shared" si="250"/>
        <v>18268.95847439347</v>
      </c>
    </row>
    <row r="260" spans="30:37" ht="12.75">
      <c r="AD260" s="299" t="s">
        <v>10</v>
      </c>
      <c r="AE260" s="340">
        <f t="shared" si="244"/>
        <v>3018</v>
      </c>
      <c r="AF260" s="341">
        <f t="shared" si="245"/>
        <v>7368</v>
      </c>
      <c r="AG260" s="341">
        <f t="shared" si="246"/>
        <v>14618</v>
      </c>
      <c r="AH260" s="341">
        <f t="shared" si="247"/>
        <v>4395.5</v>
      </c>
      <c r="AI260" s="252">
        <f t="shared" si="248"/>
        <v>3644.69320066335</v>
      </c>
      <c r="AJ260" s="162">
        <f t="shared" si="249"/>
        <v>3703.032855939343</v>
      </c>
      <c r="AK260" s="339">
        <f t="shared" si="250"/>
        <v>3937.991228070175</v>
      </c>
    </row>
    <row r="261" spans="30:37" ht="15.75">
      <c r="AD261" s="214" t="s">
        <v>27</v>
      </c>
      <c r="AE261" s="262">
        <f>SUM(AC241:AC260)/AD184</f>
        <v>0</v>
      </c>
      <c r="AF261" s="261">
        <f>SUM(AD241:AD260)/AD184</f>
        <v>0</v>
      </c>
      <c r="AG261" s="261">
        <f>SUM(AE241:AE260)/AD184</f>
        <v>4322.60985</v>
      </c>
      <c r="AH261" s="261">
        <f>SUM(AF241:AF260)/AD184</f>
        <v>11420.23985</v>
      </c>
      <c r="AI261" s="262">
        <f>SUM(AG241:AG260)/AD184</f>
        <v>24608.934849999998</v>
      </c>
      <c r="AJ261" s="261">
        <f>SUM(AH241:AH260)/AD184</f>
        <v>7526.844400687332</v>
      </c>
      <c r="AK261" s="264">
        <f>SUM(AI241:AI260)/AD184</f>
        <v>7878.282917558184</v>
      </c>
    </row>
  </sheetData>
  <mergeCells count="5">
    <mergeCell ref="O158:T158"/>
    <mergeCell ref="O129:R129"/>
    <mergeCell ref="S186:S188"/>
    <mergeCell ref="T186:T188"/>
    <mergeCell ref="S159:T159"/>
  </mergeCells>
  <hyperlinks>
    <hyperlink ref="D208" r:id="rId1" display="http://www.newsroom.barclays.co.uk/imagelibrary/detail.asp?MediaDetailsID=4633"/>
  </hyperlinks>
  <printOptions/>
  <pageMargins left="0.1968503937007874" right="0.15748031496062992" top="0.7086614173228347" bottom="0.5905511811023623" header="0.3937007874015748" footer="0.31496062992125984"/>
  <pageSetup horizontalDpi="600" verticalDpi="600" orientation="landscape" paperSize="9" scale="53" r:id="rId2"/>
  <rowBreaks count="2" manualBreakCount="2">
    <brk id="64" max="255" man="1"/>
    <brk id="122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gradyja</cp:lastModifiedBy>
  <cp:lastPrinted>2007-12-06T19:02:48Z</cp:lastPrinted>
  <dcterms:created xsi:type="dcterms:W3CDTF">2006-07-25T14:24:13Z</dcterms:created>
  <dcterms:modified xsi:type="dcterms:W3CDTF">2008-01-09T11:38:25Z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-655708826</vt:i4>
  </property>
  <property fmtid="{D5CDD505-2E9C-101B-9397-08002B2CF9AE}" pid="3" name="_NewReviewCycle">
    <vt:lpwstr/>
  </property>
  <property fmtid="{D5CDD505-2E9C-101B-9397-08002B2CF9AE}" pid="4" name="_EmailSubject">
    <vt:lpwstr>Request to load study on to the COMP website</vt:lpwstr>
  </property>
  <property fmtid="{D5CDD505-2E9C-101B-9397-08002B2CF9AE}" pid="5" name="_AuthorEmail">
    <vt:lpwstr>Jane-Adelaide.GRADY@ec.europa.eu</vt:lpwstr>
  </property>
  <property fmtid="{D5CDD505-2E9C-101B-9397-08002B2CF9AE}" pid="6" name="_AuthorEmailDisplayName">
    <vt:lpwstr>GRADY Jane Adelaide (COMP)</vt:lpwstr>
  </property>
  <property fmtid="{D5CDD505-2E9C-101B-9397-08002B2CF9AE}" pid="7" name="_PreviousAdHocReviewCycleID">
    <vt:i4>-2040960099</vt:i4>
  </property>
</Properties>
</file>