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I\5\_forum\Publications\_PROJECT Studies&amp;Reports\_PROJECT Studies-Reports 2022\collective_bargaining\01_manuscript\"/>
    </mc:Choice>
  </mc:AlternateContent>
  <xr:revisionPtr revIDLastSave="0" documentId="13_ncr:1_{07725993-582C-4C31-AA22-452A57422C4A}" xr6:coauthVersionLast="47" xr6:coauthVersionMax="47" xr10:uidLastSave="{00000000-0000-0000-0000-000000000000}"/>
  <bookViews>
    <workbookView xWindow="-120" yWindow="-120" windowWidth="29040" windowHeight="15840" tabRatio="927" activeTab="1" xr2:uid="{00000000-000D-0000-FFFF-FFFF00000000}"/>
  </bookViews>
  <sheets>
    <sheet name="EC Publication identifiers" sheetId="26" r:id="rId1"/>
    <sheet name="Collective Agreements" sheetId="2" r:id="rId2"/>
    <sheet name="Agreement table" sheetId="16" r:id="rId3"/>
    <sheet name="Poverty" sheetId="19" r:id="rId4"/>
    <sheet name="State budget" sheetId="22" r:id="rId5"/>
    <sheet name="Price impact v2" sheetId="23" r:id="rId6"/>
    <sheet name="2020" sheetId="3" r:id="rId7"/>
    <sheet name="Data by size class" sheetId="4" r:id="rId8"/>
    <sheet name="Firms Agri Trade Restaurants" sheetId="5" r:id="rId9"/>
    <sheet name="Option 1, Step 1" sheetId="8" r:id="rId10"/>
    <sheet name="Option 2, Step 1" sheetId="7" r:id="rId11"/>
    <sheet name="Option 3, Step 1" sheetId="10" r:id="rId12"/>
    <sheet name="Option 4, Step 1" sheetId="11" r:id="rId13"/>
    <sheet name="Step 2 source data" sheetId="25" r:id="rId14"/>
    <sheet name="Step 2" sheetId="12" r:id="rId15"/>
    <sheet name="Step 3" sheetId="13" r:id="rId16"/>
    <sheet name="Step 4" sheetId="14" r:id="rId17"/>
    <sheet name="2nd baseline 2030" sheetId="21" r:id="rId18"/>
    <sheet name="Nrs losing rights" sheetId="24" r:id="rId1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12" l="1"/>
  <c r="D13" i="12" l="1"/>
  <c r="G13" i="12" s="1"/>
  <c r="F13" i="12" s="1"/>
  <c r="D20" i="12"/>
  <c r="M20" i="12" s="1"/>
  <c r="I31" i="22" l="1"/>
  <c r="I30" i="22"/>
  <c r="I29" i="22"/>
  <c r="I28" i="22"/>
  <c r="I27" i="22"/>
  <c r="I26" i="22"/>
  <c r="I25" i="22"/>
  <c r="I24" i="22"/>
  <c r="I23" i="22"/>
  <c r="I22" i="22"/>
  <c r="I21" i="22"/>
  <c r="I20" i="22"/>
  <c r="I19" i="22"/>
  <c r="I18" i="22"/>
  <c r="I17" i="22"/>
  <c r="I16" i="22"/>
  <c r="I15" i="22"/>
  <c r="I14" i="22"/>
  <c r="I13" i="22"/>
  <c r="I12" i="22"/>
  <c r="I11" i="22"/>
  <c r="I10" i="22"/>
  <c r="I9" i="22"/>
  <c r="I8" i="22"/>
  <c r="I7" i="22"/>
  <c r="I6" i="22"/>
  <c r="I5" i="22"/>
  <c r="B37" i="25" l="1"/>
  <c r="B41" i="25" s="1"/>
  <c r="B34" i="25"/>
  <c r="C23" i="25"/>
  <c r="C22" i="25"/>
  <c r="C21" i="25"/>
  <c r="C20" i="25"/>
  <c r="C19" i="25"/>
  <c r="C17" i="25"/>
  <c r="C15" i="25"/>
  <c r="C14" i="25"/>
  <c r="C13" i="25"/>
  <c r="C12" i="25"/>
  <c r="C11" i="25"/>
  <c r="C9" i="25"/>
  <c r="C7" i="25"/>
  <c r="C6" i="25"/>
  <c r="C5" i="25"/>
  <c r="C4" i="25"/>
  <c r="B3" i="25"/>
  <c r="C18" i="25" s="1"/>
  <c r="C24" i="25" l="1"/>
  <c r="C16" i="25"/>
  <c r="C8" i="25"/>
  <c r="C25" i="25"/>
  <c r="C10" i="25"/>
  <c r="G10" i="12" l="1"/>
  <c r="C3" i="25"/>
  <c r="G20" i="12" l="1"/>
  <c r="F20" i="12" l="1"/>
  <c r="J3" i="16" l="1"/>
  <c r="J9" i="16"/>
  <c r="J8" i="16"/>
  <c r="J7" i="16"/>
  <c r="J6" i="16"/>
  <c r="J5" i="16"/>
  <c r="J4" i="16"/>
  <c r="L9" i="16"/>
  <c r="L8" i="16"/>
  <c r="L7" i="16"/>
  <c r="L6" i="16"/>
  <c r="L5" i="16"/>
  <c r="L4" i="16"/>
  <c r="L3" i="16"/>
  <c r="AB31" i="23"/>
  <c r="AB30" i="23"/>
  <c r="AB28" i="23"/>
  <c r="AB27" i="23"/>
  <c r="AB26" i="23"/>
  <c r="AB25" i="23"/>
  <c r="AB24" i="23"/>
  <c r="AB23" i="23"/>
  <c r="AB22" i="23"/>
  <c r="AB21" i="23"/>
  <c r="AB19" i="23"/>
  <c r="AB18" i="23"/>
  <c r="AB17" i="23"/>
  <c r="AB16" i="23"/>
  <c r="AB15" i="23"/>
  <c r="AB13" i="23"/>
  <c r="AB12" i="23"/>
  <c r="AB10" i="23"/>
  <c r="AB9" i="23"/>
  <c r="AB7" i="23"/>
  <c r="AB6" i="23"/>
  <c r="AA20" i="23"/>
  <c r="AB20" i="23" s="1"/>
  <c r="AA29" i="23"/>
  <c r="AB29" i="23" s="1"/>
  <c r="AA14" i="23"/>
  <c r="AB14" i="23" s="1"/>
  <c r="AA11" i="23"/>
  <c r="AB11" i="23" s="1"/>
  <c r="AA8" i="23"/>
  <c r="AB8" i="23" s="1"/>
  <c r="AA5" i="23"/>
  <c r="AB5" i="23" s="1"/>
  <c r="AB4" i="23" l="1"/>
  <c r="AA4" i="23"/>
  <c r="M4" i="22" l="1"/>
  <c r="G25" i="12" l="1"/>
  <c r="B35" i="12"/>
  <c r="O4" i="23" l="1"/>
  <c r="I4" i="22" s="1"/>
  <c r="D27" i="12" l="1"/>
  <c r="M27" i="12" s="1"/>
  <c r="G27" i="12" l="1"/>
  <c r="W27" i="12"/>
  <c r="AB32" i="10" l="1"/>
  <c r="P4" i="19"/>
  <c r="D26" i="12" l="1"/>
  <c r="D15" i="12"/>
  <c r="F15" i="12" s="1"/>
  <c r="G15" i="12" s="1"/>
  <c r="D16" i="12"/>
  <c r="G16" i="12" l="1"/>
  <c r="M13" i="12"/>
  <c r="W13" i="12" s="1"/>
  <c r="M16" i="12"/>
  <c r="M26" i="12"/>
  <c r="W26" i="12" s="1"/>
  <c r="M15" i="12"/>
  <c r="W15" i="12" s="1"/>
  <c r="W16" i="12"/>
  <c r="D4" i="12"/>
  <c r="M4" i="12" s="1"/>
  <c r="W4" i="12" l="1"/>
  <c r="B31" i="21" l="1"/>
  <c r="B30" i="21"/>
  <c r="B29" i="21"/>
  <c r="B28" i="21"/>
  <c r="B27" i="21"/>
  <c r="B26" i="21"/>
  <c r="B25" i="21"/>
  <c r="B24" i="21"/>
  <c r="B23" i="21"/>
  <c r="B22" i="21"/>
  <c r="B21" i="21"/>
  <c r="B20" i="21"/>
  <c r="B19" i="21"/>
  <c r="B18" i="21"/>
  <c r="B17" i="21"/>
  <c r="B16" i="21"/>
  <c r="B15" i="21"/>
  <c r="B14" i="21"/>
  <c r="B13" i="21"/>
  <c r="B12" i="21"/>
  <c r="B11" i="21"/>
  <c r="B10" i="21"/>
  <c r="B9" i="21"/>
  <c r="B8" i="21"/>
  <c r="B7" i="21"/>
  <c r="B6" i="21"/>
  <c r="B5" i="21"/>
  <c r="G8" i="21" l="1"/>
  <c r="G24" i="21"/>
  <c r="G9" i="21"/>
  <c r="G25" i="21"/>
  <c r="G12" i="21"/>
  <c r="G20" i="21"/>
  <c r="G28" i="21"/>
  <c r="G16" i="21"/>
  <c r="G11" i="21"/>
  <c r="G6" i="21"/>
  <c r="G15" i="21"/>
  <c r="G23" i="21"/>
  <c r="G31" i="21"/>
  <c r="G19" i="21"/>
  <c r="G27" i="21"/>
  <c r="G14" i="21"/>
  <c r="G30" i="21"/>
  <c r="G10" i="21"/>
  <c r="G18" i="21"/>
  <c r="G26" i="21"/>
  <c r="G22" i="21"/>
  <c r="G17" i="21"/>
  <c r="G7" i="21"/>
  <c r="G5" i="21"/>
  <c r="G13" i="21"/>
  <c r="G21" i="21"/>
  <c r="G29" i="21"/>
  <c r="B4" i="21"/>
  <c r="G4" i="21" l="1"/>
  <c r="AE36" i="21"/>
  <c r="L4" i="5"/>
  <c r="AI37" i="21" l="1"/>
  <c r="AI36" i="21"/>
  <c r="AE37" i="21"/>
  <c r="BE31" i="8"/>
  <c r="BD31" i="8"/>
  <c r="BC31" i="8"/>
  <c r="BB31" i="8"/>
  <c r="BA31" i="8"/>
  <c r="AZ31" i="8"/>
  <c r="AY31" i="8"/>
  <c r="AX31" i="8"/>
  <c r="AW31" i="8"/>
  <c r="AV31" i="8"/>
  <c r="AU31" i="8"/>
  <c r="AT31" i="8"/>
  <c r="BE30" i="8"/>
  <c r="BD30" i="8"/>
  <c r="BC30" i="8"/>
  <c r="BB30" i="8"/>
  <c r="BA30" i="8"/>
  <c r="AZ30" i="8"/>
  <c r="AY30" i="8"/>
  <c r="AX30" i="8"/>
  <c r="AW30" i="8"/>
  <c r="AV30" i="8"/>
  <c r="AU30" i="8"/>
  <c r="AT30" i="8"/>
  <c r="BE29" i="8"/>
  <c r="BD29" i="8"/>
  <c r="BC29" i="8"/>
  <c r="BB29" i="8"/>
  <c r="BA29" i="8"/>
  <c r="AZ29" i="8"/>
  <c r="AY29" i="8"/>
  <c r="AX29" i="8"/>
  <c r="AW29" i="8"/>
  <c r="AV29" i="8"/>
  <c r="AU29" i="8"/>
  <c r="AT29" i="8"/>
  <c r="BE28" i="8"/>
  <c r="BD28" i="8"/>
  <c r="BC28" i="8"/>
  <c r="BB28" i="8"/>
  <c r="BA28" i="8"/>
  <c r="AZ28" i="8"/>
  <c r="AY28" i="8"/>
  <c r="AX28" i="8"/>
  <c r="AW28" i="8"/>
  <c r="AV28" i="8"/>
  <c r="AU28" i="8"/>
  <c r="AT28" i="8"/>
  <c r="BE27" i="8"/>
  <c r="BD27" i="8"/>
  <c r="BC27" i="8"/>
  <c r="BB27" i="8"/>
  <c r="BA27" i="8"/>
  <c r="AZ27" i="8"/>
  <c r="AY27" i="8"/>
  <c r="AX27" i="8"/>
  <c r="AW27" i="8"/>
  <c r="AV27" i="8"/>
  <c r="AU27" i="8"/>
  <c r="AT27" i="8"/>
  <c r="BE26" i="8"/>
  <c r="BD26" i="8"/>
  <c r="BC26" i="8"/>
  <c r="BB26" i="8"/>
  <c r="BA26" i="8"/>
  <c r="AZ26" i="8"/>
  <c r="AY26" i="8"/>
  <c r="AX26" i="8"/>
  <c r="AW26" i="8"/>
  <c r="AV26" i="8"/>
  <c r="AU26" i="8"/>
  <c r="AT26" i="8"/>
  <c r="BE25" i="8"/>
  <c r="BD25" i="8"/>
  <c r="BC25" i="8"/>
  <c r="BB25" i="8"/>
  <c r="BA25" i="8"/>
  <c r="AZ25" i="8"/>
  <c r="AY25" i="8"/>
  <c r="AX25" i="8"/>
  <c r="AW25" i="8"/>
  <c r="AV25" i="8"/>
  <c r="AU25" i="8"/>
  <c r="AT25" i="8"/>
  <c r="BE24" i="8"/>
  <c r="BD24" i="8"/>
  <c r="BC24" i="8"/>
  <c r="BB24" i="8"/>
  <c r="BA24" i="8"/>
  <c r="AZ24" i="8"/>
  <c r="AY24" i="8"/>
  <c r="AX24" i="8"/>
  <c r="AW24" i="8"/>
  <c r="AV24" i="8"/>
  <c r="AU24" i="8"/>
  <c r="AT24" i="8"/>
  <c r="BE23" i="8"/>
  <c r="BD23" i="8"/>
  <c r="BC23" i="8"/>
  <c r="BB23" i="8"/>
  <c r="BA23" i="8"/>
  <c r="AZ23" i="8"/>
  <c r="AY23" i="8"/>
  <c r="AX23" i="8"/>
  <c r="AW23" i="8"/>
  <c r="AV23" i="8"/>
  <c r="AU23" i="8"/>
  <c r="AT23" i="8"/>
  <c r="BE22" i="8"/>
  <c r="BD22" i="8"/>
  <c r="BC22" i="8"/>
  <c r="BB22" i="8"/>
  <c r="BA22" i="8"/>
  <c r="AZ22" i="8"/>
  <c r="AY22" i="8"/>
  <c r="AX22" i="8"/>
  <c r="AW22" i="8"/>
  <c r="AV22" i="8"/>
  <c r="AU22" i="8"/>
  <c r="AT22" i="8"/>
  <c r="BE21" i="8"/>
  <c r="BD21" i="8"/>
  <c r="BC21" i="8"/>
  <c r="BB21" i="8"/>
  <c r="BA21" i="8"/>
  <c r="AZ21" i="8"/>
  <c r="AY21" i="8"/>
  <c r="AX21" i="8"/>
  <c r="AW21" i="8"/>
  <c r="AV21" i="8"/>
  <c r="AU21" i="8"/>
  <c r="AT21" i="8"/>
  <c r="BE20" i="8"/>
  <c r="BD20" i="8"/>
  <c r="BC20" i="8"/>
  <c r="BB20" i="8"/>
  <c r="BA20" i="8"/>
  <c r="AZ20" i="8"/>
  <c r="AY20" i="8"/>
  <c r="AX20" i="8"/>
  <c r="AW20" i="8"/>
  <c r="AV20" i="8"/>
  <c r="AU20" i="8"/>
  <c r="AT20" i="8"/>
  <c r="BE19" i="8"/>
  <c r="BD19" i="8"/>
  <c r="BC19" i="8"/>
  <c r="BB19" i="8"/>
  <c r="BA19" i="8"/>
  <c r="AZ19" i="8"/>
  <c r="AY19" i="8"/>
  <c r="AX19" i="8"/>
  <c r="AW19" i="8"/>
  <c r="AV19" i="8"/>
  <c r="AU19" i="8"/>
  <c r="AT19" i="8"/>
  <c r="BE18" i="8"/>
  <c r="BD18" i="8"/>
  <c r="BC18" i="8"/>
  <c r="BB18" i="8"/>
  <c r="BA18" i="8"/>
  <c r="AZ18" i="8"/>
  <c r="AY18" i="8"/>
  <c r="AX18" i="8"/>
  <c r="AW18" i="8"/>
  <c r="AV18" i="8"/>
  <c r="AU18" i="8"/>
  <c r="AT18" i="8"/>
  <c r="BE17" i="8"/>
  <c r="BD17" i="8"/>
  <c r="BC17" i="8"/>
  <c r="BB17" i="8"/>
  <c r="BA17" i="8"/>
  <c r="AZ17" i="8"/>
  <c r="AY17" i="8"/>
  <c r="AX17" i="8"/>
  <c r="AW17" i="8"/>
  <c r="AV17" i="8"/>
  <c r="AU17" i="8"/>
  <c r="AT17" i="8"/>
  <c r="BE16" i="8"/>
  <c r="BD16" i="8"/>
  <c r="BC16" i="8"/>
  <c r="BB16" i="8"/>
  <c r="BA16" i="8"/>
  <c r="AZ16" i="8"/>
  <c r="AY16" i="8"/>
  <c r="AX16" i="8"/>
  <c r="AW16" i="8"/>
  <c r="AV16" i="8"/>
  <c r="AU16" i="8"/>
  <c r="AT16" i="8"/>
  <c r="BE15" i="8"/>
  <c r="BD15" i="8"/>
  <c r="BC15" i="8"/>
  <c r="BB15" i="8"/>
  <c r="BA15" i="8"/>
  <c r="AZ15" i="8"/>
  <c r="AY15" i="8"/>
  <c r="AX15" i="8"/>
  <c r="AW15" i="8"/>
  <c r="AV15" i="8"/>
  <c r="AU15" i="8"/>
  <c r="AT15" i="8"/>
  <c r="BE14" i="8"/>
  <c r="BD14" i="8"/>
  <c r="BC14" i="8"/>
  <c r="BB14" i="8"/>
  <c r="BA14" i="8"/>
  <c r="AZ14" i="8"/>
  <c r="AY14" i="8"/>
  <c r="AX14" i="8"/>
  <c r="AW14" i="8"/>
  <c r="AV14" i="8"/>
  <c r="AU14" i="8"/>
  <c r="AT14" i="8"/>
  <c r="BE13" i="8"/>
  <c r="BD13" i="8"/>
  <c r="BC13" i="8"/>
  <c r="BB13" i="8"/>
  <c r="BA13" i="8"/>
  <c r="AZ13" i="8"/>
  <c r="AY13" i="8"/>
  <c r="AX13" i="8"/>
  <c r="AW13" i="8"/>
  <c r="AV13" i="8"/>
  <c r="AU13" i="8"/>
  <c r="AT13" i="8"/>
  <c r="BE12" i="8"/>
  <c r="BD12" i="8"/>
  <c r="BC12" i="8"/>
  <c r="BB12" i="8"/>
  <c r="BA12" i="8"/>
  <c r="AZ12" i="8"/>
  <c r="AY12" i="8"/>
  <c r="AX12" i="8"/>
  <c r="AW12" i="8"/>
  <c r="AV12" i="8"/>
  <c r="AU12" i="8"/>
  <c r="AT12" i="8"/>
  <c r="BE11" i="8"/>
  <c r="BD11" i="8"/>
  <c r="BC11" i="8"/>
  <c r="BB11" i="8"/>
  <c r="BA11" i="8"/>
  <c r="AZ11" i="8"/>
  <c r="AY11" i="8"/>
  <c r="AX11" i="8"/>
  <c r="AW11" i="8"/>
  <c r="AV11" i="8"/>
  <c r="AU11" i="8"/>
  <c r="AT11" i="8"/>
  <c r="BE10" i="8"/>
  <c r="BD10" i="8"/>
  <c r="BC10" i="8"/>
  <c r="BB10" i="8"/>
  <c r="BA10" i="8"/>
  <c r="AZ10" i="8"/>
  <c r="AY10" i="8"/>
  <c r="AX10" i="8"/>
  <c r="AW10" i="8"/>
  <c r="AV10" i="8"/>
  <c r="AU10" i="8"/>
  <c r="AT10" i="8"/>
  <c r="BE9" i="8"/>
  <c r="BD9" i="8"/>
  <c r="BC9" i="8"/>
  <c r="BB9" i="8"/>
  <c r="BA9" i="8"/>
  <c r="AZ9" i="8"/>
  <c r="AY9" i="8"/>
  <c r="AX9" i="8"/>
  <c r="AW9" i="8"/>
  <c r="AV9" i="8"/>
  <c r="AU9" i="8"/>
  <c r="AT9" i="8"/>
  <c r="BE8" i="8"/>
  <c r="BD8" i="8"/>
  <c r="BC8" i="8"/>
  <c r="BB8" i="8"/>
  <c r="BA8" i="8"/>
  <c r="AZ8" i="8"/>
  <c r="AY8" i="8"/>
  <c r="AX8" i="8"/>
  <c r="AW8" i="8"/>
  <c r="AV8" i="8"/>
  <c r="AU8" i="8"/>
  <c r="AT8" i="8"/>
  <c r="BE7" i="8"/>
  <c r="BD7" i="8"/>
  <c r="BC7" i="8"/>
  <c r="BB7" i="8"/>
  <c r="BA7" i="8"/>
  <c r="AZ7" i="8"/>
  <c r="AY7" i="8"/>
  <c r="AX7" i="8"/>
  <c r="AW7" i="8"/>
  <c r="AV7" i="8"/>
  <c r="AU7" i="8"/>
  <c r="AT7" i="8"/>
  <c r="BE6" i="8"/>
  <c r="BD6" i="8"/>
  <c r="BC6" i="8"/>
  <c r="BB6" i="8"/>
  <c r="BA6" i="8"/>
  <c r="AZ6" i="8"/>
  <c r="AY6" i="8"/>
  <c r="AX6" i="8"/>
  <c r="AW6" i="8"/>
  <c r="AV6" i="8"/>
  <c r="AU6" i="8"/>
  <c r="AT6" i="8"/>
  <c r="BE5" i="8"/>
  <c r="BD5" i="8"/>
  <c r="BC5" i="8"/>
  <c r="BB5" i="8"/>
  <c r="BA5" i="8"/>
  <c r="AZ5" i="8"/>
  <c r="AY5" i="8"/>
  <c r="AX5" i="8"/>
  <c r="AW5" i="8"/>
  <c r="AV5" i="8"/>
  <c r="AU5" i="8"/>
  <c r="AT5" i="8"/>
  <c r="BE4" i="8"/>
  <c r="BD4" i="8"/>
  <c r="BC4" i="8"/>
  <c r="BB4" i="8"/>
  <c r="BA4" i="8"/>
  <c r="AZ4" i="8"/>
  <c r="AY4" i="8"/>
  <c r="AX4" i="8"/>
  <c r="AW4" i="8"/>
  <c r="AV4" i="8"/>
  <c r="AU4" i="8"/>
  <c r="AT4" i="8"/>
  <c r="N14" i="19" l="1"/>
  <c r="L14" i="19"/>
  <c r="I15" i="19"/>
  <c r="I13" i="19"/>
  <c r="J15" i="19" l="1"/>
  <c r="J13" i="19"/>
  <c r="M14" i="19"/>
  <c r="J14" i="19" s="1"/>
  <c r="K15" i="19"/>
  <c r="K13" i="19"/>
  <c r="I14" i="19" l="1"/>
  <c r="K14" i="19"/>
  <c r="L8" i="19"/>
  <c r="M7" i="19"/>
  <c r="N7" i="19" s="1"/>
  <c r="M6" i="19"/>
  <c r="N6" i="19" s="1"/>
  <c r="M5" i="19"/>
  <c r="N5" i="19" s="1"/>
  <c r="M4" i="19"/>
  <c r="J7" i="19"/>
  <c r="K7" i="19" s="1"/>
  <c r="J6" i="19"/>
  <c r="K6" i="19" s="1"/>
  <c r="J5" i="19"/>
  <c r="K5" i="19" s="1"/>
  <c r="I8" i="19"/>
  <c r="J4" i="19"/>
  <c r="K4" i="19" s="1"/>
  <c r="M8" i="19" l="1"/>
  <c r="N8" i="19" s="1"/>
  <c r="N4" i="19"/>
  <c r="J8" i="19"/>
  <c r="K8" i="19" s="1"/>
  <c r="E40" i="2" l="1"/>
  <c r="G15" i="16" s="1"/>
  <c r="E10" i="16"/>
  <c r="J10" i="16" s="1"/>
  <c r="G10" i="16"/>
  <c r="L10" i="16" s="1"/>
  <c r="H10" i="16"/>
  <c r="O29" i="14"/>
  <c r="N29" i="14"/>
  <c r="M29" i="14"/>
  <c r="L29" i="14"/>
  <c r="O26" i="14"/>
  <c r="N26" i="14"/>
  <c r="M26" i="14"/>
  <c r="L26" i="14"/>
  <c r="O25" i="14"/>
  <c r="N25" i="14"/>
  <c r="M25" i="14"/>
  <c r="L25" i="14"/>
  <c r="O20" i="14"/>
  <c r="N20" i="14"/>
  <c r="M20" i="14"/>
  <c r="L20" i="14"/>
  <c r="O15" i="14"/>
  <c r="N15" i="14"/>
  <c r="M15" i="14"/>
  <c r="L15" i="14"/>
  <c r="O13" i="14"/>
  <c r="N13" i="14"/>
  <c r="M13" i="14"/>
  <c r="L13" i="14"/>
  <c r="O10" i="14"/>
  <c r="N10" i="14"/>
  <c r="M10" i="14"/>
  <c r="L10" i="14"/>
  <c r="O5" i="14"/>
  <c r="N5" i="14"/>
  <c r="M5" i="14"/>
  <c r="L5" i="14"/>
  <c r="F29" i="14"/>
  <c r="H29" i="14"/>
  <c r="D29" i="14"/>
  <c r="C29" i="14"/>
  <c r="F26" i="14"/>
  <c r="H26" i="14"/>
  <c r="D26" i="14"/>
  <c r="C26" i="14"/>
  <c r="F25" i="14"/>
  <c r="H25" i="14"/>
  <c r="D25" i="14"/>
  <c r="C25" i="14"/>
  <c r="F20" i="14"/>
  <c r="H20" i="14"/>
  <c r="D20" i="14"/>
  <c r="C20" i="14"/>
  <c r="F15" i="14"/>
  <c r="H15" i="14"/>
  <c r="D15" i="14"/>
  <c r="C15" i="14"/>
  <c r="F13" i="14"/>
  <c r="H13" i="14"/>
  <c r="D13" i="14"/>
  <c r="C13" i="14"/>
  <c r="F10" i="14"/>
  <c r="H10" i="14"/>
  <c r="D10" i="14"/>
  <c r="C10" i="14"/>
  <c r="F5" i="14"/>
  <c r="H5" i="14"/>
  <c r="D5" i="14"/>
  <c r="C5" i="14"/>
  <c r="AC31" i="14"/>
  <c r="O31" i="14" s="1"/>
  <c r="AB31" i="14"/>
  <c r="N31" i="14" s="1"/>
  <c r="AA31" i="14"/>
  <c r="M31" i="14" s="1"/>
  <c r="Z31" i="14"/>
  <c r="L31" i="14" s="1"/>
  <c r="AC30" i="14"/>
  <c r="O30" i="14" s="1"/>
  <c r="AB30" i="14"/>
  <c r="N30" i="14" s="1"/>
  <c r="AA30" i="14"/>
  <c r="M30" i="14" s="1"/>
  <c r="Z30" i="14"/>
  <c r="L30" i="14" s="1"/>
  <c r="AC28" i="14"/>
  <c r="O28" i="14" s="1"/>
  <c r="AB28" i="14"/>
  <c r="N28" i="14" s="1"/>
  <c r="AA28" i="14"/>
  <c r="M28" i="14" s="1"/>
  <c r="Z28" i="14"/>
  <c r="L28" i="14" s="1"/>
  <c r="AC27" i="14"/>
  <c r="O27" i="14" s="1"/>
  <c r="AB27" i="14"/>
  <c r="N27" i="14" s="1"/>
  <c r="AA27" i="14"/>
  <c r="M27" i="14" s="1"/>
  <c r="Z27" i="14"/>
  <c r="L27" i="14" s="1"/>
  <c r="AC24" i="14"/>
  <c r="O24" i="14" s="1"/>
  <c r="AB24" i="14"/>
  <c r="N24" i="14" s="1"/>
  <c r="AA24" i="14"/>
  <c r="M24" i="14" s="1"/>
  <c r="Z24" i="14"/>
  <c r="L24" i="14" s="1"/>
  <c r="AC23" i="14"/>
  <c r="O23" i="14" s="1"/>
  <c r="AB23" i="14"/>
  <c r="N23" i="14" s="1"/>
  <c r="AA23" i="14"/>
  <c r="M23" i="14" s="1"/>
  <c r="Z23" i="14"/>
  <c r="L23" i="14" s="1"/>
  <c r="AC22" i="14"/>
  <c r="O22" i="14" s="1"/>
  <c r="AB22" i="14"/>
  <c r="N22" i="14" s="1"/>
  <c r="AA22" i="14"/>
  <c r="M22" i="14" s="1"/>
  <c r="Z22" i="14"/>
  <c r="L22" i="14" s="1"/>
  <c r="AC21" i="14"/>
  <c r="O21" i="14" s="1"/>
  <c r="AB21" i="14"/>
  <c r="N21" i="14" s="1"/>
  <c r="AA21" i="14"/>
  <c r="M21" i="14" s="1"/>
  <c r="Z21" i="14"/>
  <c r="L21" i="14" s="1"/>
  <c r="AC19" i="14"/>
  <c r="O19" i="14" s="1"/>
  <c r="AB19" i="14"/>
  <c r="N19" i="14" s="1"/>
  <c r="AA19" i="14"/>
  <c r="M19" i="14" s="1"/>
  <c r="Z19" i="14"/>
  <c r="L19" i="14" s="1"/>
  <c r="AC18" i="14"/>
  <c r="O18" i="14" s="1"/>
  <c r="AB18" i="14"/>
  <c r="N18" i="14" s="1"/>
  <c r="AA18" i="14"/>
  <c r="M18" i="14" s="1"/>
  <c r="Z18" i="14"/>
  <c r="L18" i="14" s="1"/>
  <c r="AC17" i="14"/>
  <c r="O17" i="14" s="1"/>
  <c r="AB17" i="14"/>
  <c r="N17" i="14" s="1"/>
  <c r="AA17" i="14"/>
  <c r="M17" i="14" s="1"/>
  <c r="Z17" i="14"/>
  <c r="L17" i="14" s="1"/>
  <c r="AC16" i="14"/>
  <c r="O16" i="14" s="1"/>
  <c r="AB16" i="14"/>
  <c r="N16" i="14" s="1"/>
  <c r="AA16" i="14"/>
  <c r="M16" i="14" s="1"/>
  <c r="Z16" i="14"/>
  <c r="L16" i="14" s="1"/>
  <c r="AC14" i="14"/>
  <c r="O14" i="14" s="1"/>
  <c r="AB14" i="14"/>
  <c r="N14" i="14" s="1"/>
  <c r="AA14" i="14"/>
  <c r="M14" i="14" s="1"/>
  <c r="Z14" i="14"/>
  <c r="L14" i="14" s="1"/>
  <c r="AC12" i="14"/>
  <c r="O12" i="14" s="1"/>
  <c r="AB12" i="14"/>
  <c r="N12" i="14" s="1"/>
  <c r="AA12" i="14"/>
  <c r="M12" i="14" s="1"/>
  <c r="Z12" i="14"/>
  <c r="L12" i="14" s="1"/>
  <c r="AC11" i="14"/>
  <c r="O11" i="14" s="1"/>
  <c r="AB11" i="14"/>
  <c r="N11" i="14" s="1"/>
  <c r="AA11" i="14"/>
  <c r="M11" i="14" s="1"/>
  <c r="Z11" i="14"/>
  <c r="L11" i="14" s="1"/>
  <c r="AC9" i="14"/>
  <c r="O9" i="14" s="1"/>
  <c r="AB9" i="14"/>
  <c r="N9" i="14" s="1"/>
  <c r="AA9" i="14"/>
  <c r="M9" i="14" s="1"/>
  <c r="Z9" i="14"/>
  <c r="L9" i="14" s="1"/>
  <c r="AC8" i="14"/>
  <c r="O8" i="14" s="1"/>
  <c r="AB8" i="14"/>
  <c r="N8" i="14" s="1"/>
  <c r="AA8" i="14"/>
  <c r="M8" i="14" s="1"/>
  <c r="Z8" i="14"/>
  <c r="L8" i="14" s="1"/>
  <c r="AC7" i="14"/>
  <c r="O7" i="14" s="1"/>
  <c r="AB7" i="14"/>
  <c r="N7" i="14" s="1"/>
  <c r="AA7" i="14"/>
  <c r="M7" i="14" s="1"/>
  <c r="Z7" i="14"/>
  <c r="L7" i="14" s="1"/>
  <c r="AC6" i="14"/>
  <c r="O6" i="14" s="1"/>
  <c r="AB6" i="14"/>
  <c r="N6" i="14" s="1"/>
  <c r="AA6" i="14"/>
  <c r="M6" i="14" s="1"/>
  <c r="Z6" i="14"/>
  <c r="L6" i="14" s="1"/>
  <c r="M40" i="2" l="1"/>
  <c r="E15" i="16" s="1"/>
  <c r="H15" i="16" s="1"/>
  <c r="V31" i="14"/>
  <c r="F31" i="14" s="1"/>
  <c r="U31" i="14"/>
  <c r="H31" i="14" s="1"/>
  <c r="T31" i="14"/>
  <c r="D31" i="14" s="1"/>
  <c r="S31" i="14"/>
  <c r="C31" i="14" s="1"/>
  <c r="V30" i="14"/>
  <c r="F30" i="14" s="1"/>
  <c r="U30" i="14"/>
  <c r="H30" i="14" s="1"/>
  <c r="T30" i="14"/>
  <c r="D30" i="14" s="1"/>
  <c r="S30" i="14"/>
  <c r="C30" i="14" s="1"/>
  <c r="V28" i="14"/>
  <c r="F28" i="14" s="1"/>
  <c r="U28" i="14"/>
  <c r="H28" i="14" s="1"/>
  <c r="T28" i="14"/>
  <c r="D28" i="14" s="1"/>
  <c r="S28" i="14"/>
  <c r="C28" i="14" s="1"/>
  <c r="V27" i="14"/>
  <c r="F27" i="14" s="1"/>
  <c r="U27" i="14"/>
  <c r="H27" i="14" s="1"/>
  <c r="T27" i="14"/>
  <c r="D27" i="14" s="1"/>
  <c r="S27" i="14"/>
  <c r="C27" i="14" s="1"/>
  <c r="V24" i="14"/>
  <c r="F24" i="14" s="1"/>
  <c r="U24" i="14"/>
  <c r="H24" i="14" s="1"/>
  <c r="T24" i="14"/>
  <c r="D24" i="14" s="1"/>
  <c r="S24" i="14"/>
  <c r="C24" i="14" s="1"/>
  <c r="V23" i="14"/>
  <c r="F23" i="14" s="1"/>
  <c r="U23" i="14"/>
  <c r="H23" i="14" s="1"/>
  <c r="T23" i="14"/>
  <c r="D23" i="14" s="1"/>
  <c r="S23" i="14"/>
  <c r="C23" i="14" s="1"/>
  <c r="V22" i="14"/>
  <c r="F22" i="14" s="1"/>
  <c r="U22" i="14"/>
  <c r="H22" i="14" s="1"/>
  <c r="T22" i="14"/>
  <c r="D22" i="14" s="1"/>
  <c r="S22" i="14"/>
  <c r="C22" i="14" s="1"/>
  <c r="V21" i="14"/>
  <c r="F21" i="14" s="1"/>
  <c r="U21" i="14"/>
  <c r="H21" i="14" s="1"/>
  <c r="T21" i="14"/>
  <c r="D21" i="14" s="1"/>
  <c r="S21" i="14"/>
  <c r="C21" i="14" s="1"/>
  <c r="V19" i="14"/>
  <c r="F19" i="14" s="1"/>
  <c r="U19" i="14"/>
  <c r="H19" i="14" s="1"/>
  <c r="T19" i="14"/>
  <c r="D19" i="14" s="1"/>
  <c r="S19" i="14"/>
  <c r="C19" i="14" s="1"/>
  <c r="V18" i="14"/>
  <c r="F18" i="14" s="1"/>
  <c r="U18" i="14"/>
  <c r="H18" i="14" s="1"/>
  <c r="T18" i="14"/>
  <c r="D18" i="14" s="1"/>
  <c r="S18" i="14"/>
  <c r="C18" i="14" s="1"/>
  <c r="V17" i="14"/>
  <c r="F17" i="14" s="1"/>
  <c r="U17" i="14"/>
  <c r="H17" i="14" s="1"/>
  <c r="T17" i="14"/>
  <c r="D17" i="14" s="1"/>
  <c r="S17" i="14"/>
  <c r="C17" i="14" s="1"/>
  <c r="V16" i="14"/>
  <c r="F16" i="14" s="1"/>
  <c r="U16" i="14"/>
  <c r="H16" i="14" s="1"/>
  <c r="T16" i="14"/>
  <c r="D16" i="14" s="1"/>
  <c r="S16" i="14"/>
  <c r="C16" i="14" s="1"/>
  <c r="V14" i="14"/>
  <c r="F14" i="14" s="1"/>
  <c r="U14" i="14"/>
  <c r="H14" i="14" s="1"/>
  <c r="T14" i="14"/>
  <c r="D14" i="14" s="1"/>
  <c r="S14" i="14"/>
  <c r="C14" i="14" s="1"/>
  <c r="V12" i="14"/>
  <c r="F12" i="14" s="1"/>
  <c r="U12" i="14"/>
  <c r="H12" i="14" s="1"/>
  <c r="T12" i="14"/>
  <c r="D12" i="14" s="1"/>
  <c r="S12" i="14"/>
  <c r="C12" i="14" s="1"/>
  <c r="V11" i="14"/>
  <c r="F11" i="14" s="1"/>
  <c r="U11" i="14"/>
  <c r="H11" i="14" s="1"/>
  <c r="T11" i="14"/>
  <c r="D11" i="14" s="1"/>
  <c r="S11" i="14"/>
  <c r="C11" i="14" s="1"/>
  <c r="V9" i="14"/>
  <c r="F9" i="14" s="1"/>
  <c r="U9" i="14"/>
  <c r="H9" i="14" s="1"/>
  <c r="T9" i="14"/>
  <c r="D9" i="14" s="1"/>
  <c r="S9" i="14"/>
  <c r="C9" i="14" s="1"/>
  <c r="V8" i="14"/>
  <c r="F8" i="14" s="1"/>
  <c r="U8" i="14"/>
  <c r="H8" i="14" s="1"/>
  <c r="T8" i="14"/>
  <c r="D8" i="14" s="1"/>
  <c r="S8" i="14"/>
  <c r="C8" i="14" s="1"/>
  <c r="V7" i="14"/>
  <c r="F7" i="14" s="1"/>
  <c r="U7" i="14"/>
  <c r="H7" i="14" s="1"/>
  <c r="T7" i="14"/>
  <c r="D7" i="14" s="1"/>
  <c r="S7" i="14"/>
  <c r="C7" i="14" s="1"/>
  <c r="V6" i="14"/>
  <c r="F6" i="14" s="1"/>
  <c r="U6" i="14"/>
  <c r="H6" i="14" s="1"/>
  <c r="T6" i="14"/>
  <c r="D6" i="14" s="1"/>
  <c r="S6" i="14"/>
  <c r="C6" i="14" s="1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E9" i="13"/>
  <c r="E8" i="13"/>
  <c r="E7" i="13"/>
  <c r="E6" i="13"/>
  <c r="E5" i="13"/>
  <c r="E4" i="13"/>
  <c r="E3" i="13"/>
  <c r="AE30" i="10"/>
  <c r="AE29" i="10"/>
  <c r="AE28" i="10"/>
  <c r="AE27" i="10"/>
  <c r="AE26" i="10"/>
  <c r="AE25" i="10"/>
  <c r="AE24" i="10"/>
  <c r="AF24" i="10" s="1"/>
  <c r="AE23" i="10"/>
  <c r="AE22" i="10"/>
  <c r="AE21" i="10"/>
  <c r="AE20" i="10"/>
  <c r="AE19" i="10"/>
  <c r="AE18" i="10"/>
  <c r="AE17" i="10"/>
  <c r="AE16" i="10"/>
  <c r="AF16" i="10" s="1"/>
  <c r="AE15" i="10"/>
  <c r="AE14" i="10"/>
  <c r="AE13" i="10"/>
  <c r="AE12" i="10"/>
  <c r="AE11" i="10"/>
  <c r="AE10" i="10"/>
  <c r="AE9" i="10"/>
  <c r="AE8" i="10"/>
  <c r="AF8" i="10" s="1"/>
  <c r="AE7" i="10"/>
  <c r="AE6" i="10"/>
  <c r="AE5" i="10"/>
  <c r="AE4" i="10"/>
  <c r="AE3" i="10"/>
  <c r="AE32" i="10" s="1"/>
  <c r="R30" i="10"/>
  <c r="S30" i="10" s="1"/>
  <c r="T30" i="10" s="1"/>
  <c r="U30" i="10" s="1"/>
  <c r="V30" i="10" s="1"/>
  <c r="W30" i="10" s="1"/>
  <c r="X30" i="10" s="1"/>
  <c r="Y30" i="10" s="1"/>
  <c r="Z30" i="10" s="1"/>
  <c r="AA30" i="10" s="1"/>
  <c r="AB30" i="10" s="1"/>
  <c r="R29" i="10"/>
  <c r="S29" i="10" s="1"/>
  <c r="T29" i="10" s="1"/>
  <c r="U29" i="10" s="1"/>
  <c r="V29" i="10" s="1"/>
  <c r="W29" i="10" s="1"/>
  <c r="X29" i="10" s="1"/>
  <c r="Y29" i="10" s="1"/>
  <c r="Z29" i="10" s="1"/>
  <c r="AA29" i="10" s="1"/>
  <c r="AB29" i="10" s="1"/>
  <c r="R28" i="10"/>
  <c r="S28" i="10" s="1"/>
  <c r="T28" i="10" s="1"/>
  <c r="U28" i="10" s="1"/>
  <c r="V28" i="10" s="1"/>
  <c r="W28" i="10" s="1"/>
  <c r="X28" i="10" s="1"/>
  <c r="Y28" i="10" s="1"/>
  <c r="Z28" i="10" s="1"/>
  <c r="AA28" i="10" s="1"/>
  <c r="AB28" i="10" s="1"/>
  <c r="R27" i="10"/>
  <c r="S27" i="10" s="1"/>
  <c r="T27" i="10" s="1"/>
  <c r="U27" i="10" s="1"/>
  <c r="V27" i="10" s="1"/>
  <c r="W27" i="10" s="1"/>
  <c r="X27" i="10" s="1"/>
  <c r="Y27" i="10" s="1"/>
  <c r="Z27" i="10" s="1"/>
  <c r="AA27" i="10" s="1"/>
  <c r="AB27" i="10" s="1"/>
  <c r="R26" i="10"/>
  <c r="S26" i="10" s="1"/>
  <c r="T26" i="10" s="1"/>
  <c r="U26" i="10" s="1"/>
  <c r="V26" i="10" s="1"/>
  <c r="W26" i="10" s="1"/>
  <c r="X26" i="10" s="1"/>
  <c r="Y26" i="10" s="1"/>
  <c r="Z26" i="10" s="1"/>
  <c r="AA26" i="10" s="1"/>
  <c r="AB26" i="10" s="1"/>
  <c r="R25" i="10"/>
  <c r="S25" i="10" s="1"/>
  <c r="T25" i="10" s="1"/>
  <c r="U25" i="10" s="1"/>
  <c r="V25" i="10" s="1"/>
  <c r="W25" i="10" s="1"/>
  <c r="X25" i="10" s="1"/>
  <c r="Y25" i="10" s="1"/>
  <c r="Z25" i="10" s="1"/>
  <c r="AA25" i="10" s="1"/>
  <c r="AB25" i="10" s="1"/>
  <c r="R24" i="10"/>
  <c r="S24" i="10" s="1"/>
  <c r="T24" i="10" s="1"/>
  <c r="U24" i="10" s="1"/>
  <c r="V24" i="10" s="1"/>
  <c r="W24" i="10" s="1"/>
  <c r="X24" i="10" s="1"/>
  <c r="Y24" i="10" s="1"/>
  <c r="Z24" i="10" s="1"/>
  <c r="AA24" i="10" s="1"/>
  <c r="AB24" i="10" s="1"/>
  <c r="R23" i="10"/>
  <c r="S23" i="10" s="1"/>
  <c r="T23" i="10" s="1"/>
  <c r="U23" i="10" s="1"/>
  <c r="V23" i="10" s="1"/>
  <c r="W23" i="10" s="1"/>
  <c r="X23" i="10" s="1"/>
  <c r="Y23" i="10" s="1"/>
  <c r="Z23" i="10" s="1"/>
  <c r="AA23" i="10" s="1"/>
  <c r="AB23" i="10" s="1"/>
  <c r="R22" i="10"/>
  <c r="S22" i="10" s="1"/>
  <c r="T22" i="10" s="1"/>
  <c r="U22" i="10" s="1"/>
  <c r="V22" i="10" s="1"/>
  <c r="W22" i="10" s="1"/>
  <c r="X22" i="10" s="1"/>
  <c r="Y22" i="10" s="1"/>
  <c r="Z22" i="10" s="1"/>
  <c r="AA22" i="10" s="1"/>
  <c r="AB22" i="10" s="1"/>
  <c r="R21" i="10"/>
  <c r="S21" i="10" s="1"/>
  <c r="T21" i="10" s="1"/>
  <c r="U21" i="10" s="1"/>
  <c r="V21" i="10" s="1"/>
  <c r="W21" i="10" s="1"/>
  <c r="X21" i="10" s="1"/>
  <c r="Y21" i="10" s="1"/>
  <c r="Z21" i="10" s="1"/>
  <c r="AA21" i="10" s="1"/>
  <c r="AB21" i="10" s="1"/>
  <c r="R20" i="10"/>
  <c r="S20" i="10" s="1"/>
  <c r="T20" i="10" s="1"/>
  <c r="U20" i="10" s="1"/>
  <c r="V20" i="10" s="1"/>
  <c r="W20" i="10" s="1"/>
  <c r="X20" i="10" s="1"/>
  <c r="Y20" i="10" s="1"/>
  <c r="Z20" i="10" s="1"/>
  <c r="AA20" i="10" s="1"/>
  <c r="AB20" i="10" s="1"/>
  <c r="R19" i="10"/>
  <c r="S19" i="10" s="1"/>
  <c r="T19" i="10" s="1"/>
  <c r="U19" i="10" s="1"/>
  <c r="V19" i="10" s="1"/>
  <c r="W19" i="10" s="1"/>
  <c r="X19" i="10" s="1"/>
  <c r="Y19" i="10" s="1"/>
  <c r="Z19" i="10" s="1"/>
  <c r="AA19" i="10" s="1"/>
  <c r="AB19" i="10" s="1"/>
  <c r="R18" i="10"/>
  <c r="S18" i="10" s="1"/>
  <c r="T18" i="10" s="1"/>
  <c r="U18" i="10" s="1"/>
  <c r="V18" i="10" s="1"/>
  <c r="W18" i="10" s="1"/>
  <c r="X18" i="10" s="1"/>
  <c r="Y18" i="10" s="1"/>
  <c r="Z18" i="10" s="1"/>
  <c r="AA18" i="10" s="1"/>
  <c r="AB18" i="10" s="1"/>
  <c r="R17" i="10"/>
  <c r="S17" i="10" s="1"/>
  <c r="T17" i="10" s="1"/>
  <c r="U17" i="10" s="1"/>
  <c r="V17" i="10" s="1"/>
  <c r="W17" i="10" s="1"/>
  <c r="X17" i="10" s="1"/>
  <c r="Y17" i="10" s="1"/>
  <c r="Z17" i="10" s="1"/>
  <c r="AA17" i="10" s="1"/>
  <c r="AB17" i="10" s="1"/>
  <c r="R16" i="10"/>
  <c r="S16" i="10" s="1"/>
  <c r="T16" i="10" s="1"/>
  <c r="U16" i="10" s="1"/>
  <c r="V16" i="10" s="1"/>
  <c r="W16" i="10" s="1"/>
  <c r="X16" i="10" s="1"/>
  <c r="Y16" i="10" s="1"/>
  <c r="Z16" i="10" s="1"/>
  <c r="AA16" i="10" s="1"/>
  <c r="AB16" i="10" s="1"/>
  <c r="R15" i="10"/>
  <c r="S15" i="10" s="1"/>
  <c r="T15" i="10" s="1"/>
  <c r="U15" i="10" s="1"/>
  <c r="V15" i="10" s="1"/>
  <c r="W15" i="10" s="1"/>
  <c r="X15" i="10" s="1"/>
  <c r="Y15" i="10" s="1"/>
  <c r="Z15" i="10" s="1"/>
  <c r="AA15" i="10" s="1"/>
  <c r="AB15" i="10" s="1"/>
  <c r="R14" i="10"/>
  <c r="S14" i="10" s="1"/>
  <c r="T14" i="10" s="1"/>
  <c r="U14" i="10" s="1"/>
  <c r="V14" i="10" s="1"/>
  <c r="W14" i="10" s="1"/>
  <c r="X14" i="10" s="1"/>
  <c r="Y14" i="10" s="1"/>
  <c r="Z14" i="10" s="1"/>
  <c r="AA14" i="10" s="1"/>
  <c r="AB14" i="10" s="1"/>
  <c r="R13" i="10"/>
  <c r="S13" i="10" s="1"/>
  <c r="T13" i="10" s="1"/>
  <c r="U13" i="10" s="1"/>
  <c r="V13" i="10" s="1"/>
  <c r="W13" i="10" s="1"/>
  <c r="X13" i="10" s="1"/>
  <c r="Y13" i="10" s="1"/>
  <c r="Z13" i="10" s="1"/>
  <c r="AA13" i="10" s="1"/>
  <c r="AB13" i="10" s="1"/>
  <c r="R12" i="10"/>
  <c r="S12" i="10" s="1"/>
  <c r="T12" i="10" s="1"/>
  <c r="U12" i="10" s="1"/>
  <c r="V12" i="10" s="1"/>
  <c r="W12" i="10" s="1"/>
  <c r="X12" i="10" s="1"/>
  <c r="Y12" i="10" s="1"/>
  <c r="Z12" i="10" s="1"/>
  <c r="AA12" i="10" s="1"/>
  <c r="AB12" i="10" s="1"/>
  <c r="R11" i="10"/>
  <c r="S11" i="10" s="1"/>
  <c r="T11" i="10" s="1"/>
  <c r="U11" i="10" s="1"/>
  <c r="V11" i="10" s="1"/>
  <c r="W11" i="10" s="1"/>
  <c r="X11" i="10" s="1"/>
  <c r="Y11" i="10" s="1"/>
  <c r="Z11" i="10" s="1"/>
  <c r="AA11" i="10" s="1"/>
  <c r="AB11" i="10" s="1"/>
  <c r="R10" i="10"/>
  <c r="S10" i="10" s="1"/>
  <c r="T10" i="10" s="1"/>
  <c r="U10" i="10" s="1"/>
  <c r="V10" i="10" s="1"/>
  <c r="W10" i="10" s="1"/>
  <c r="X10" i="10" s="1"/>
  <c r="Y10" i="10" s="1"/>
  <c r="Z10" i="10" s="1"/>
  <c r="AA10" i="10" s="1"/>
  <c r="AB10" i="10" s="1"/>
  <c r="R9" i="10"/>
  <c r="S9" i="10" s="1"/>
  <c r="T9" i="10" s="1"/>
  <c r="U9" i="10" s="1"/>
  <c r="V9" i="10" s="1"/>
  <c r="W9" i="10" s="1"/>
  <c r="X9" i="10" s="1"/>
  <c r="Y9" i="10" s="1"/>
  <c r="Z9" i="10" s="1"/>
  <c r="AA9" i="10" s="1"/>
  <c r="AB9" i="10" s="1"/>
  <c r="R8" i="10"/>
  <c r="S8" i="10" s="1"/>
  <c r="T8" i="10" s="1"/>
  <c r="U8" i="10" s="1"/>
  <c r="V8" i="10" s="1"/>
  <c r="W8" i="10" s="1"/>
  <c r="X8" i="10" s="1"/>
  <c r="Y8" i="10" s="1"/>
  <c r="Z8" i="10" s="1"/>
  <c r="AA8" i="10" s="1"/>
  <c r="AB8" i="10" s="1"/>
  <c r="R7" i="10"/>
  <c r="S7" i="10" s="1"/>
  <c r="T7" i="10" s="1"/>
  <c r="U7" i="10" s="1"/>
  <c r="V7" i="10" s="1"/>
  <c r="W7" i="10" s="1"/>
  <c r="X7" i="10" s="1"/>
  <c r="Y7" i="10" s="1"/>
  <c r="Z7" i="10" s="1"/>
  <c r="AA7" i="10" s="1"/>
  <c r="AB7" i="10" s="1"/>
  <c r="R6" i="10"/>
  <c r="S6" i="10" s="1"/>
  <c r="T6" i="10" s="1"/>
  <c r="U6" i="10" s="1"/>
  <c r="V6" i="10" s="1"/>
  <c r="W6" i="10" s="1"/>
  <c r="X6" i="10" s="1"/>
  <c r="Y6" i="10" s="1"/>
  <c r="Z6" i="10" s="1"/>
  <c r="AA6" i="10" s="1"/>
  <c r="AB6" i="10" s="1"/>
  <c r="R5" i="10"/>
  <c r="S5" i="10" s="1"/>
  <c r="T5" i="10" s="1"/>
  <c r="U5" i="10" s="1"/>
  <c r="V5" i="10" s="1"/>
  <c r="W5" i="10" s="1"/>
  <c r="X5" i="10" s="1"/>
  <c r="Y5" i="10" s="1"/>
  <c r="Z5" i="10" s="1"/>
  <c r="AA5" i="10" s="1"/>
  <c r="AB5" i="10" s="1"/>
  <c r="R4" i="10"/>
  <c r="L12" i="21" l="1"/>
  <c r="P12" i="21"/>
  <c r="L28" i="21"/>
  <c r="P28" i="21"/>
  <c r="Y28" i="21" s="1"/>
  <c r="L5" i="21"/>
  <c r="P5" i="21"/>
  <c r="L13" i="21"/>
  <c r="U13" i="21" s="1"/>
  <c r="E13" i="23" s="1"/>
  <c r="P13" i="23" s="1"/>
  <c r="P48" i="23" s="1"/>
  <c r="P13" i="21"/>
  <c r="Y13" i="21" s="1"/>
  <c r="L21" i="21"/>
  <c r="P21" i="21"/>
  <c r="L29" i="21"/>
  <c r="U29" i="21" s="1"/>
  <c r="E29" i="23" s="1"/>
  <c r="P29" i="23" s="1"/>
  <c r="P29" i="21"/>
  <c r="Y29" i="21" s="1"/>
  <c r="P64" i="23"/>
  <c r="L14" i="21"/>
  <c r="U14" i="21" s="1"/>
  <c r="E14" i="23" s="1"/>
  <c r="P14" i="23" s="1"/>
  <c r="P14" i="21"/>
  <c r="Y14" i="21" s="1"/>
  <c r="L22" i="21"/>
  <c r="P22" i="21"/>
  <c r="L30" i="21"/>
  <c r="P30" i="21"/>
  <c r="Y30" i="21" s="1"/>
  <c r="I30" i="23" s="1"/>
  <c r="T30" i="23" s="1"/>
  <c r="L7" i="21"/>
  <c r="P7" i="21"/>
  <c r="Y7" i="21" s="1"/>
  <c r="L15" i="21"/>
  <c r="U15" i="21" s="1"/>
  <c r="E15" i="23" s="1"/>
  <c r="P15" i="23" s="1"/>
  <c r="P50" i="23" s="1"/>
  <c r="P15" i="21"/>
  <c r="Y15" i="21" s="1"/>
  <c r="L23" i="21"/>
  <c r="P23" i="21"/>
  <c r="Y23" i="21" s="1"/>
  <c r="L31" i="21"/>
  <c r="U31" i="21" s="1"/>
  <c r="E31" i="23" s="1"/>
  <c r="P31" i="23" s="1"/>
  <c r="P66" i="23" s="1"/>
  <c r="P31" i="21"/>
  <c r="Y31" i="21" s="1"/>
  <c r="L6" i="21"/>
  <c r="U6" i="21" s="1"/>
  <c r="E6" i="23" s="1"/>
  <c r="P6" i="23" s="1"/>
  <c r="P41" i="23" s="1"/>
  <c r="P6" i="21"/>
  <c r="Y6" i="21" s="1"/>
  <c r="AF10" i="10"/>
  <c r="L8" i="21"/>
  <c r="P8" i="21"/>
  <c r="L16" i="21"/>
  <c r="U16" i="21" s="1"/>
  <c r="E16" i="23" s="1"/>
  <c r="P16" i="23" s="1"/>
  <c r="P51" i="23" s="1"/>
  <c r="P16" i="21"/>
  <c r="Y16" i="21" s="1"/>
  <c r="P24" i="21"/>
  <c r="Y24" i="21" s="1"/>
  <c r="L24" i="21"/>
  <c r="U24" i="21" s="1"/>
  <c r="E24" i="23" s="1"/>
  <c r="P24" i="23" s="1"/>
  <c r="P59" i="23" s="1"/>
  <c r="L9" i="21"/>
  <c r="P9" i="21"/>
  <c r="Y9" i="21" s="1"/>
  <c r="L17" i="21"/>
  <c r="P17" i="21"/>
  <c r="Y17" i="21" s="1"/>
  <c r="L25" i="21"/>
  <c r="U25" i="21" s="1"/>
  <c r="E25" i="23" s="1"/>
  <c r="P25" i="23" s="1"/>
  <c r="P60" i="23" s="1"/>
  <c r="P25" i="21"/>
  <c r="Y25" i="21" s="1"/>
  <c r="L20" i="21"/>
  <c r="U20" i="21" s="1"/>
  <c r="E20" i="23" s="1"/>
  <c r="P20" i="23" s="1"/>
  <c r="P55" i="23" s="1"/>
  <c r="P20" i="21"/>
  <c r="Y20" i="21" s="1"/>
  <c r="I20" i="23" s="1"/>
  <c r="T20" i="23" s="1"/>
  <c r="L10" i="21"/>
  <c r="U10" i="21" s="1"/>
  <c r="E10" i="23" s="1"/>
  <c r="P10" i="23" s="1"/>
  <c r="P10" i="21"/>
  <c r="Y10" i="21" s="1"/>
  <c r="I10" i="23" s="1"/>
  <c r="T10" i="23" s="1"/>
  <c r="P45" i="23"/>
  <c r="L18" i="21"/>
  <c r="U18" i="21" s="1"/>
  <c r="E18" i="23" s="1"/>
  <c r="P18" i="23" s="1"/>
  <c r="P53" i="23" s="1"/>
  <c r="P18" i="21"/>
  <c r="Y18" i="21" s="1"/>
  <c r="L26" i="21"/>
  <c r="U26" i="21" s="1"/>
  <c r="E26" i="23" s="1"/>
  <c r="P26" i="23" s="1"/>
  <c r="P61" i="23" s="1"/>
  <c r="P26" i="21"/>
  <c r="Y26" i="21" s="1"/>
  <c r="I26" i="23" s="1"/>
  <c r="T26" i="23" s="1"/>
  <c r="L11" i="21"/>
  <c r="P11" i="21"/>
  <c r="Y11" i="21" s="1"/>
  <c r="L19" i="21"/>
  <c r="U19" i="21" s="1"/>
  <c r="E19" i="23" s="1"/>
  <c r="P19" i="23" s="1"/>
  <c r="P54" i="23" s="1"/>
  <c r="P19" i="21"/>
  <c r="Y19" i="21" s="1"/>
  <c r="I19" i="23" s="1"/>
  <c r="T19" i="23" s="1"/>
  <c r="L27" i="21"/>
  <c r="U27" i="21" s="1"/>
  <c r="E27" i="23" s="1"/>
  <c r="P27" i="23" s="1"/>
  <c r="P62" i="23" s="1"/>
  <c r="P27" i="21"/>
  <c r="Y27" i="21" s="1"/>
  <c r="U8" i="21"/>
  <c r="E8" i="23" s="1"/>
  <c r="P8" i="23" s="1"/>
  <c r="P43" i="23" s="1"/>
  <c r="Y8" i="21"/>
  <c r="U11" i="21"/>
  <c r="E11" i="23" s="1"/>
  <c r="P11" i="23" s="1"/>
  <c r="P46" i="23" s="1"/>
  <c r="P49" i="23"/>
  <c r="P52" i="23"/>
  <c r="U17" i="21"/>
  <c r="E17" i="23" s="1"/>
  <c r="P17" i="23" s="1"/>
  <c r="U22" i="21"/>
  <c r="E22" i="23" s="1"/>
  <c r="P22" i="23" s="1"/>
  <c r="P57" i="23" s="1"/>
  <c r="Y22" i="21"/>
  <c r="P63" i="23"/>
  <c r="U28" i="21"/>
  <c r="E28" i="23" s="1"/>
  <c r="P28" i="23" s="1"/>
  <c r="U7" i="21"/>
  <c r="E7" i="23" s="1"/>
  <c r="P7" i="23" s="1"/>
  <c r="P42" i="23" s="1"/>
  <c r="U9" i="21"/>
  <c r="E9" i="23" s="1"/>
  <c r="P9" i="23" s="1"/>
  <c r="P44" i="23" s="1"/>
  <c r="U12" i="21"/>
  <c r="E12" i="23" s="1"/>
  <c r="P12" i="23" s="1"/>
  <c r="P47" i="23" s="1"/>
  <c r="Y12" i="21"/>
  <c r="U21" i="21"/>
  <c r="E21" i="23" s="1"/>
  <c r="P21" i="23" s="1"/>
  <c r="P56" i="23" s="1"/>
  <c r="Y21" i="21"/>
  <c r="P58" i="23"/>
  <c r="U23" i="21"/>
  <c r="E23" i="23" s="1"/>
  <c r="P23" i="23" s="1"/>
  <c r="U30" i="21"/>
  <c r="E30" i="23" s="1"/>
  <c r="P30" i="23" s="1"/>
  <c r="P65" i="23" s="1"/>
  <c r="AF6" i="10"/>
  <c r="AG6" i="10" s="1"/>
  <c r="AF14" i="10"/>
  <c r="AG14" i="10" s="1"/>
  <c r="AF22" i="10"/>
  <c r="AG22" i="10" s="1"/>
  <c r="AF30" i="10"/>
  <c r="AG30" i="10" s="1"/>
  <c r="AF21" i="10"/>
  <c r="AF5" i="10"/>
  <c r="AF29" i="10"/>
  <c r="AF7" i="10"/>
  <c r="AF15" i="10"/>
  <c r="AF23" i="10"/>
  <c r="AF9" i="10"/>
  <c r="R3" i="10"/>
  <c r="AG10" i="10"/>
  <c r="AF17" i="10"/>
  <c r="AF18" i="10"/>
  <c r="AF26" i="10"/>
  <c r="AF27" i="10"/>
  <c r="AG8" i="10"/>
  <c r="AG16" i="10"/>
  <c r="AF25" i="10"/>
  <c r="AF11" i="10"/>
  <c r="AF19" i="10"/>
  <c r="AG24" i="10"/>
  <c r="AF4" i="10"/>
  <c r="AF12" i="10"/>
  <c r="AF20" i="10"/>
  <c r="AF28" i="10"/>
  <c r="AF13" i="10"/>
  <c r="S4" i="10"/>
  <c r="I31" i="23" l="1"/>
  <c r="T31" i="23" s="1"/>
  <c r="T66" i="23" s="1"/>
  <c r="I12" i="23"/>
  <c r="T12" i="23" s="1"/>
  <c r="T47" i="23" s="1"/>
  <c r="I6" i="23"/>
  <c r="T6" i="23" s="1"/>
  <c r="T41" i="23" s="1"/>
  <c r="I27" i="23"/>
  <c r="T27" i="23" s="1"/>
  <c r="T62" i="23" s="1"/>
  <c r="I7" i="23"/>
  <c r="T7" i="23" s="1"/>
  <c r="T42" i="23" s="1"/>
  <c r="I22" i="23"/>
  <c r="T22" i="23" s="1"/>
  <c r="T57" i="23" s="1"/>
  <c r="I25" i="23"/>
  <c r="T25" i="23" s="1"/>
  <c r="T60" i="23" s="1"/>
  <c r="I16" i="23"/>
  <c r="T16" i="23" s="1"/>
  <c r="T51" i="23" s="1"/>
  <c r="I24" i="23"/>
  <c r="T24" i="23" s="1"/>
  <c r="T59" i="23" s="1"/>
  <c r="I23" i="23"/>
  <c r="T23" i="23" s="1"/>
  <c r="T58" i="23" s="1"/>
  <c r="I28" i="23"/>
  <c r="T28" i="23" s="1"/>
  <c r="T63" i="23" s="1"/>
  <c r="I18" i="23"/>
  <c r="T18" i="23" s="1"/>
  <c r="T53" i="23" s="1"/>
  <c r="I8" i="23"/>
  <c r="T8" i="23" s="1"/>
  <c r="T43" i="23" s="1"/>
  <c r="I11" i="23"/>
  <c r="T11" i="23" s="1"/>
  <c r="T46" i="23" s="1"/>
  <c r="I17" i="23"/>
  <c r="T17" i="23" s="1"/>
  <c r="T52" i="23" s="1"/>
  <c r="I29" i="23"/>
  <c r="T29" i="23" s="1"/>
  <c r="T64" i="23" s="1"/>
  <c r="I21" i="23"/>
  <c r="T21" i="23" s="1"/>
  <c r="T56" i="23" s="1"/>
  <c r="I9" i="23"/>
  <c r="T9" i="23" s="1"/>
  <c r="T44" i="23" s="1"/>
  <c r="I15" i="23"/>
  <c r="T15" i="23" s="1"/>
  <c r="T50" i="23" s="1"/>
  <c r="I14" i="23"/>
  <c r="T14" i="23" s="1"/>
  <c r="T49" i="23" s="1"/>
  <c r="I13" i="23"/>
  <c r="T13" i="23" s="1"/>
  <c r="T48" i="23" s="1"/>
  <c r="L4" i="21"/>
  <c r="AE38" i="21" s="1"/>
  <c r="U5" i="21"/>
  <c r="E5" i="23" s="1"/>
  <c r="P4" i="21"/>
  <c r="AI38" i="21" s="1"/>
  <c r="Y5" i="21"/>
  <c r="AG4" i="10"/>
  <c r="AG21" i="10"/>
  <c r="AG18" i="10"/>
  <c r="AH6" i="10"/>
  <c r="AG13" i="10"/>
  <c r="AG7" i="10"/>
  <c r="AG28" i="10"/>
  <c r="AG19" i="10"/>
  <c r="AH16" i="10"/>
  <c r="AG9" i="10"/>
  <c r="AH24" i="10"/>
  <c r="AG25" i="10"/>
  <c r="AG26" i="10"/>
  <c r="AG20" i="10"/>
  <c r="AG17" i="10"/>
  <c r="AH30" i="10"/>
  <c r="AG29" i="10"/>
  <c r="AG27" i="10"/>
  <c r="AH14" i="10"/>
  <c r="AF3" i="10"/>
  <c r="AG12" i="10"/>
  <c r="AG11" i="10"/>
  <c r="AH8" i="10"/>
  <c r="AG23" i="10"/>
  <c r="AH10" i="10"/>
  <c r="AH22" i="10"/>
  <c r="AG5" i="10"/>
  <c r="AG15" i="10"/>
  <c r="T4" i="10"/>
  <c r="S3" i="10"/>
  <c r="P5" i="23" l="1"/>
  <c r="E4" i="23"/>
  <c r="U4" i="21"/>
  <c r="AE39" i="21" s="1"/>
  <c r="Y4" i="21"/>
  <c r="AI39" i="21" s="1"/>
  <c r="I5" i="23"/>
  <c r="AH4" i="10"/>
  <c r="AG3" i="10"/>
  <c r="AH5" i="10"/>
  <c r="AI14" i="10"/>
  <c r="AI8" i="10"/>
  <c r="AI6" i="10"/>
  <c r="AI24" i="10"/>
  <c r="AI22" i="10"/>
  <c r="AH27" i="10"/>
  <c r="AH20" i="10"/>
  <c r="AH9" i="10"/>
  <c r="AH13" i="10"/>
  <c r="AH17" i="10"/>
  <c r="AH11" i="10"/>
  <c r="AH18" i="10"/>
  <c r="AH23" i="10"/>
  <c r="AH28" i="10"/>
  <c r="AI10" i="10"/>
  <c r="AH29" i="10"/>
  <c r="AH26" i="10"/>
  <c r="AI16" i="10"/>
  <c r="AH7" i="10"/>
  <c r="AH12" i="10"/>
  <c r="AH19" i="10"/>
  <c r="AH15" i="10"/>
  <c r="AI30" i="10"/>
  <c r="AH25" i="10"/>
  <c r="AH21" i="10"/>
  <c r="U4" i="10"/>
  <c r="T3" i="10"/>
  <c r="P40" i="23" l="1"/>
  <c r="P38" i="23" s="1"/>
  <c r="P33" i="23"/>
  <c r="P4" i="23"/>
  <c r="T5" i="23"/>
  <c r="I4" i="23"/>
  <c r="AI4" i="10"/>
  <c r="AH3" i="10"/>
  <c r="AJ10" i="10"/>
  <c r="AI20" i="10"/>
  <c r="AI21" i="10"/>
  <c r="AJ16" i="10"/>
  <c r="AI28" i="10"/>
  <c r="AI17" i="10"/>
  <c r="AI27" i="10"/>
  <c r="AI15" i="10"/>
  <c r="AJ6" i="10"/>
  <c r="AI19" i="10"/>
  <c r="AJ8" i="10"/>
  <c r="AI25" i="10"/>
  <c r="AI26" i="10"/>
  <c r="AI23" i="10"/>
  <c r="AI13" i="10"/>
  <c r="AJ22" i="10"/>
  <c r="AI7" i="10"/>
  <c r="AI11" i="10"/>
  <c r="AJ14" i="10"/>
  <c r="AJ30" i="10"/>
  <c r="AI12" i="10"/>
  <c r="AI29" i="10"/>
  <c r="AI18" i="10"/>
  <c r="AI9" i="10"/>
  <c r="AJ24" i="10"/>
  <c r="AI5" i="10"/>
  <c r="V4" i="10"/>
  <c r="U3" i="10"/>
  <c r="AI3" i="10" l="1"/>
  <c r="AK30" i="10"/>
  <c r="AJ26" i="10"/>
  <c r="AJ28" i="10"/>
  <c r="AJ4" i="10"/>
  <c r="AK14" i="10"/>
  <c r="AJ25" i="10"/>
  <c r="AJ5" i="10"/>
  <c r="AJ29" i="10"/>
  <c r="AJ13" i="10"/>
  <c r="AK8" i="10"/>
  <c r="AJ27" i="10"/>
  <c r="AJ21" i="10"/>
  <c r="AJ18" i="10"/>
  <c r="AK16" i="10"/>
  <c r="AK24" i="10"/>
  <c r="AJ9" i="10"/>
  <c r="AJ7" i="10"/>
  <c r="AK6" i="10"/>
  <c r="AK10" i="10"/>
  <c r="AK22" i="10"/>
  <c r="AJ15" i="10"/>
  <c r="AJ12" i="10"/>
  <c r="AJ11" i="10"/>
  <c r="AJ23" i="10"/>
  <c r="AJ19" i="10"/>
  <c r="AJ17" i="10"/>
  <c r="AJ20" i="10"/>
  <c r="W4" i="10"/>
  <c r="V3" i="10"/>
  <c r="V43" i="8"/>
  <c r="W43" i="8" s="1"/>
  <c r="X43" i="8" s="1"/>
  <c r="Y43" i="8" s="1"/>
  <c r="Z43" i="8" s="1"/>
  <c r="V42" i="8"/>
  <c r="W42" i="8" s="1"/>
  <c r="X42" i="8" s="1"/>
  <c r="Y42" i="8" s="1"/>
  <c r="Z42" i="8" s="1"/>
  <c r="AJ3" i="10" l="1"/>
  <c r="AL10" i="10"/>
  <c r="AK17" i="10"/>
  <c r="AK12" i="10"/>
  <c r="AK28" i="10"/>
  <c r="AL6" i="10"/>
  <c r="AL16" i="10"/>
  <c r="AL8" i="10"/>
  <c r="AK5" i="10"/>
  <c r="AK20" i="10"/>
  <c r="AK11" i="10"/>
  <c r="AL24" i="10"/>
  <c r="AK19" i="10"/>
  <c r="AK15" i="10"/>
  <c r="AK26" i="10"/>
  <c r="AK29" i="10"/>
  <c r="AK27" i="10"/>
  <c r="AK7" i="10"/>
  <c r="AK18" i="10"/>
  <c r="AK13" i="10"/>
  <c r="AK25" i="10"/>
  <c r="AK23" i="10"/>
  <c r="AL22" i="10"/>
  <c r="AL30" i="10"/>
  <c r="AK4" i="10"/>
  <c r="AK9" i="10"/>
  <c r="AK21" i="10"/>
  <c r="AL14" i="10"/>
  <c r="X4" i="10"/>
  <c r="W3" i="10"/>
  <c r="N65" i="2"/>
  <c r="AL25" i="10" l="1"/>
  <c r="AM30" i="10"/>
  <c r="AL29" i="10"/>
  <c r="AM14" i="10"/>
  <c r="AL12" i="10"/>
  <c r="AM22" i="10"/>
  <c r="AL18" i="10"/>
  <c r="AL26" i="10"/>
  <c r="AL11" i="10"/>
  <c r="AM16" i="10"/>
  <c r="AL21" i="10"/>
  <c r="AL17" i="10"/>
  <c r="AL27" i="10"/>
  <c r="AL19" i="10"/>
  <c r="AL5" i="10"/>
  <c r="AK3" i="10"/>
  <c r="AL28" i="10"/>
  <c r="AL4" i="10"/>
  <c r="AL13" i="10"/>
  <c r="AM24" i="10"/>
  <c r="AM8" i="10"/>
  <c r="AL23" i="10"/>
  <c r="AL7" i="10"/>
  <c r="AL15" i="10"/>
  <c r="AL20" i="10"/>
  <c r="AM6" i="10"/>
  <c r="AL9" i="10"/>
  <c r="AM10" i="10"/>
  <c r="Y4" i="10"/>
  <c r="X3" i="10"/>
  <c r="AM15" i="10" l="1"/>
  <c r="AM5" i="10"/>
  <c r="AM18" i="10"/>
  <c r="AM29" i="10"/>
  <c r="AN10" i="10"/>
  <c r="AN24" i="10"/>
  <c r="AM21" i="10"/>
  <c r="AM9" i="10"/>
  <c r="AM7" i="10"/>
  <c r="AM13" i="10"/>
  <c r="AM19" i="10"/>
  <c r="AN16" i="10"/>
  <c r="AN30" i="10"/>
  <c r="AN6" i="10"/>
  <c r="AM27" i="10"/>
  <c r="AM28" i="10"/>
  <c r="AM11" i="10"/>
  <c r="AM12" i="10"/>
  <c r="AM25" i="10"/>
  <c r="AN22" i="10"/>
  <c r="AL3" i="10"/>
  <c r="AM20" i="10"/>
  <c r="AN8" i="10"/>
  <c r="AM17" i="10"/>
  <c r="AM23" i="10"/>
  <c r="AM4" i="10"/>
  <c r="AM26" i="10"/>
  <c r="AN14" i="10"/>
  <c r="Z4" i="10"/>
  <c r="Y3" i="10"/>
  <c r="Q24" i="2"/>
  <c r="AN21" i="10" l="1"/>
  <c r="AO8" i="10"/>
  <c r="AN25" i="10"/>
  <c r="AN27" i="10"/>
  <c r="AN19" i="10"/>
  <c r="AN29" i="10"/>
  <c r="AN26" i="10"/>
  <c r="AN20" i="10"/>
  <c r="AN23" i="10"/>
  <c r="AN11" i="10"/>
  <c r="AO30" i="10"/>
  <c r="AN7" i="10"/>
  <c r="AO24" i="10"/>
  <c r="AN5" i="10"/>
  <c r="AN12" i="10"/>
  <c r="AN18" i="10"/>
  <c r="AO22" i="10"/>
  <c r="AN13" i="10"/>
  <c r="AN4" i="10"/>
  <c r="AN17" i="10"/>
  <c r="AN28" i="10"/>
  <c r="AO16" i="10"/>
  <c r="AN9" i="10"/>
  <c r="AO10" i="10"/>
  <c r="AN15" i="10"/>
  <c r="AO6" i="10"/>
  <c r="AM3" i="10"/>
  <c r="AO14" i="10"/>
  <c r="AA4" i="10"/>
  <c r="Z3" i="10"/>
  <c r="Q40" i="2"/>
  <c r="M9" i="2"/>
  <c r="L9" i="2"/>
  <c r="D9" i="2"/>
  <c r="E9" i="2" s="1"/>
  <c r="Q9" i="2" l="1"/>
  <c r="AO9" i="10"/>
  <c r="AO26" i="10"/>
  <c r="AO25" i="10"/>
  <c r="AO13" i="10"/>
  <c r="AO5" i="10"/>
  <c r="AO11" i="10"/>
  <c r="AO29" i="10"/>
  <c r="AP22" i="10"/>
  <c r="AP24" i="10"/>
  <c r="AO23" i="10"/>
  <c r="AP6" i="10"/>
  <c r="AO15" i="10"/>
  <c r="AO28" i="10"/>
  <c r="AO19" i="10"/>
  <c r="AO21" i="10"/>
  <c r="AP16" i="10"/>
  <c r="AP8" i="10"/>
  <c r="AN3" i="10"/>
  <c r="AO18" i="10"/>
  <c r="AO7" i="10"/>
  <c r="AP10" i="10"/>
  <c r="AO17" i="10"/>
  <c r="AO20" i="10"/>
  <c r="AO27" i="10"/>
  <c r="AO4" i="10"/>
  <c r="AP14" i="10"/>
  <c r="AO12" i="10"/>
  <c r="AP30" i="10"/>
  <c r="AB4" i="10"/>
  <c r="AB3" i="10" s="1"/>
  <c r="AA3" i="10"/>
  <c r="M26" i="8"/>
  <c r="M30" i="8"/>
  <c r="M29" i="8"/>
  <c r="M28" i="8"/>
  <c r="M27" i="8"/>
  <c r="M24" i="8"/>
  <c r="M23" i="8"/>
  <c r="M22" i="8"/>
  <c r="M21" i="8"/>
  <c r="M20" i="8"/>
  <c r="M19" i="8"/>
  <c r="M18" i="8"/>
  <c r="M17" i="8"/>
  <c r="M16" i="8"/>
  <c r="M15" i="8"/>
  <c r="M14" i="8"/>
  <c r="M13" i="8"/>
  <c r="M12" i="8"/>
  <c r="M11" i="8"/>
  <c r="M10" i="8"/>
  <c r="M7" i="8"/>
  <c r="M6" i="8"/>
  <c r="M5" i="8"/>
  <c r="AP21" i="10" l="1"/>
  <c r="AP29" i="10"/>
  <c r="AP25" i="10"/>
  <c r="AP12" i="10"/>
  <c r="AP20" i="10"/>
  <c r="AP18" i="10"/>
  <c r="AP11" i="10"/>
  <c r="AP17" i="10"/>
  <c r="AP19" i="10"/>
  <c r="AP28" i="10"/>
  <c r="AP5" i="10"/>
  <c r="AP9" i="10"/>
  <c r="AP26" i="10"/>
  <c r="AP4" i="10"/>
  <c r="AP15" i="10"/>
  <c r="AP13" i="10"/>
  <c r="AP23" i="10"/>
  <c r="AO3" i="10"/>
  <c r="AP27" i="10"/>
  <c r="AP7" i="10"/>
  <c r="AP3" i="10" l="1"/>
  <c r="E27" i="4"/>
  <c r="E26" i="4"/>
  <c r="BI30" i="4"/>
  <c r="BI29" i="4"/>
  <c r="BI28" i="4"/>
  <c r="BI27" i="4"/>
  <c r="BI26" i="4"/>
  <c r="BI25" i="4"/>
  <c r="BI24" i="4"/>
  <c r="BI23" i="4"/>
  <c r="BI22" i="4"/>
  <c r="BI21" i="4"/>
  <c r="BI20" i="4"/>
  <c r="BI19" i="4"/>
  <c r="BI18" i="4"/>
  <c r="BI17" i="4"/>
  <c r="BI16" i="4"/>
  <c r="BI15" i="4"/>
  <c r="BI14" i="4"/>
  <c r="BI13" i="4"/>
  <c r="BI12" i="4"/>
  <c r="BI11" i="4"/>
  <c r="BI10" i="4"/>
  <c r="BI9" i="4"/>
  <c r="BI8" i="4"/>
  <c r="BI7" i="4"/>
  <c r="BI6" i="4"/>
  <c r="BI5" i="4"/>
  <c r="BI4" i="4"/>
  <c r="BD3" i="4"/>
  <c r="BC3" i="4"/>
  <c r="BA3" i="4"/>
  <c r="BB3" i="4" s="1"/>
  <c r="BA30" i="4"/>
  <c r="BB30" i="4" s="1"/>
  <c r="BA29" i="4"/>
  <c r="BB29" i="4" s="1"/>
  <c r="BA28" i="4"/>
  <c r="BB28" i="4" s="1"/>
  <c r="BO28" i="4" s="1"/>
  <c r="BA27" i="4"/>
  <c r="BB27" i="4" s="1"/>
  <c r="BO27" i="4" s="1"/>
  <c r="BA26" i="4"/>
  <c r="BB26" i="4" s="1"/>
  <c r="BA25" i="4"/>
  <c r="BB25" i="4" s="1"/>
  <c r="BA24" i="4"/>
  <c r="BB24" i="4" s="1"/>
  <c r="BA23" i="4"/>
  <c r="BB23" i="4" s="1"/>
  <c r="BO23" i="4" s="1"/>
  <c r="BA22" i="4"/>
  <c r="BB22" i="4" s="1"/>
  <c r="BA21" i="4"/>
  <c r="BB21" i="4" s="1"/>
  <c r="BA20" i="4"/>
  <c r="BB20" i="4" s="1"/>
  <c r="BO20" i="4" s="1"/>
  <c r="BA19" i="4"/>
  <c r="BB19" i="4" s="1"/>
  <c r="BO19" i="4" s="1"/>
  <c r="BA18" i="4"/>
  <c r="BB18" i="4" s="1"/>
  <c r="BO18" i="4" s="1"/>
  <c r="BA17" i="4"/>
  <c r="BB17" i="4" s="1"/>
  <c r="BA16" i="4"/>
  <c r="BB16" i="4" s="1"/>
  <c r="BA15" i="4"/>
  <c r="BB15" i="4" s="1"/>
  <c r="BA14" i="4"/>
  <c r="BB14" i="4" s="1"/>
  <c r="BA13" i="4"/>
  <c r="BB13" i="4" s="1"/>
  <c r="BA12" i="4"/>
  <c r="BB12" i="4" s="1"/>
  <c r="BO12" i="4" s="1"/>
  <c r="BA11" i="4"/>
  <c r="BB11" i="4" s="1"/>
  <c r="BO11" i="4" s="1"/>
  <c r="BA10" i="4"/>
  <c r="BB10" i="4" s="1"/>
  <c r="BO10" i="4" s="1"/>
  <c r="BA9" i="4"/>
  <c r="BB9" i="4" s="1"/>
  <c r="BA8" i="4"/>
  <c r="BB8" i="4" s="1"/>
  <c r="BA7" i="4"/>
  <c r="BB7" i="4" s="1"/>
  <c r="BO7" i="4" s="1"/>
  <c r="BA6" i="4"/>
  <c r="BB6" i="4" s="1"/>
  <c r="BA5" i="4"/>
  <c r="BB5" i="4" s="1"/>
  <c r="BA4" i="4"/>
  <c r="BB4" i="4" s="1"/>
  <c r="BO4" i="4" s="1"/>
  <c r="AY30" i="4"/>
  <c r="AZ30" i="4" s="1"/>
  <c r="AY29" i="4"/>
  <c r="AZ29" i="4" s="1"/>
  <c r="BM29" i="4" s="1"/>
  <c r="AY28" i="4"/>
  <c r="AZ28" i="4" s="1"/>
  <c r="AY27" i="4"/>
  <c r="AZ27" i="4" s="1"/>
  <c r="AY26" i="4"/>
  <c r="AZ26" i="4" s="1"/>
  <c r="AY25" i="4"/>
  <c r="AZ25" i="4" s="1"/>
  <c r="AY24" i="4"/>
  <c r="AZ24" i="4" s="1"/>
  <c r="AY23" i="4"/>
  <c r="AZ23" i="4" s="1"/>
  <c r="BM23" i="4" s="1"/>
  <c r="AY22" i="4"/>
  <c r="AZ22" i="4" s="1"/>
  <c r="AY21" i="4"/>
  <c r="AZ21" i="4" s="1"/>
  <c r="BM21" i="4" s="1"/>
  <c r="AY20" i="4"/>
  <c r="AZ20" i="4" s="1"/>
  <c r="AY19" i="4"/>
  <c r="AZ19" i="4" s="1"/>
  <c r="AY18" i="4"/>
  <c r="AZ18" i="4" s="1"/>
  <c r="AY17" i="4"/>
  <c r="AZ17" i="4" s="1"/>
  <c r="AY16" i="4"/>
  <c r="AZ16" i="4" s="1"/>
  <c r="AY15" i="4"/>
  <c r="AZ15" i="4" s="1"/>
  <c r="BM15" i="4" s="1"/>
  <c r="AY14" i="4"/>
  <c r="AZ14" i="4" s="1"/>
  <c r="AY13" i="4"/>
  <c r="AZ13" i="4" s="1"/>
  <c r="BM13" i="4" s="1"/>
  <c r="AY12" i="4"/>
  <c r="AZ12" i="4" s="1"/>
  <c r="AY11" i="4"/>
  <c r="AZ11" i="4" s="1"/>
  <c r="AY10" i="4"/>
  <c r="AZ10" i="4" s="1"/>
  <c r="AY9" i="4"/>
  <c r="AZ9" i="4" s="1"/>
  <c r="AY8" i="4"/>
  <c r="AZ8" i="4" s="1"/>
  <c r="AY7" i="4"/>
  <c r="AZ7" i="4" s="1"/>
  <c r="BM7" i="4" s="1"/>
  <c r="AY6" i="4"/>
  <c r="AZ6" i="4" s="1"/>
  <c r="AY5" i="4"/>
  <c r="AZ5" i="4" s="1"/>
  <c r="BM5" i="4" s="1"/>
  <c r="AY4" i="4"/>
  <c r="AZ4" i="4" s="1"/>
  <c r="AY3" i="4"/>
  <c r="AZ3" i="4" s="1"/>
  <c r="AW30" i="4"/>
  <c r="AX30" i="4" s="1"/>
  <c r="AW30" i="7" s="1"/>
  <c r="AW29" i="4"/>
  <c r="AX29" i="4" s="1"/>
  <c r="AW29" i="7" s="1"/>
  <c r="AW28" i="4"/>
  <c r="AX28" i="4" s="1"/>
  <c r="BK28" i="4" s="1"/>
  <c r="AW27" i="4"/>
  <c r="AX27" i="4" s="1"/>
  <c r="BK27" i="4" s="1"/>
  <c r="AW26" i="4"/>
  <c r="AX26" i="4" s="1"/>
  <c r="AW26" i="7" s="1"/>
  <c r="BA26" i="7" s="1"/>
  <c r="AW25" i="4"/>
  <c r="AX25" i="4" s="1"/>
  <c r="AV25" i="7" s="1"/>
  <c r="AW24" i="4"/>
  <c r="AX24" i="4" s="1"/>
  <c r="AV24" i="7" s="1"/>
  <c r="AW23" i="4"/>
  <c r="AX23" i="4" s="1"/>
  <c r="AV23" i="7" s="1"/>
  <c r="AZ23" i="7" s="1"/>
  <c r="AW22" i="4"/>
  <c r="AX22" i="4" s="1"/>
  <c r="AW22" i="7" s="1"/>
  <c r="AW21" i="4"/>
  <c r="AX21" i="4" s="1"/>
  <c r="AW21" i="7" s="1"/>
  <c r="AW20" i="4"/>
  <c r="AX20" i="4" s="1"/>
  <c r="BK20" i="4" s="1"/>
  <c r="AW19" i="4"/>
  <c r="AX19" i="4" s="1"/>
  <c r="BK19" i="4" s="1"/>
  <c r="AW18" i="4"/>
  <c r="AX18" i="4" s="1"/>
  <c r="AW18" i="7" s="1"/>
  <c r="AW17" i="4"/>
  <c r="AX17" i="4" s="1"/>
  <c r="BK17" i="4" s="1"/>
  <c r="AW16" i="4"/>
  <c r="AX16" i="4" s="1"/>
  <c r="AV16" i="7" s="1"/>
  <c r="AW15" i="4"/>
  <c r="AX15" i="4" s="1"/>
  <c r="AV15" i="7" s="1"/>
  <c r="AZ15" i="7" s="1"/>
  <c r="AW14" i="4"/>
  <c r="AX14" i="4" s="1"/>
  <c r="AW14" i="7" s="1"/>
  <c r="AW13" i="4"/>
  <c r="AX13" i="4" s="1"/>
  <c r="AW13" i="7" s="1"/>
  <c r="AW12" i="4"/>
  <c r="AX12" i="4" s="1"/>
  <c r="BK12" i="4" s="1"/>
  <c r="AW11" i="4"/>
  <c r="AX11" i="4" s="1"/>
  <c r="BK11" i="4" s="1"/>
  <c r="AW10" i="4"/>
  <c r="AX10" i="4" s="1"/>
  <c r="AW10" i="7" s="1"/>
  <c r="BA10" i="7" s="1"/>
  <c r="AW9" i="4"/>
  <c r="AX9" i="4" s="1"/>
  <c r="AV9" i="7" s="1"/>
  <c r="AW8" i="4"/>
  <c r="AX8" i="4" s="1"/>
  <c r="AV8" i="7" s="1"/>
  <c r="AW7" i="4"/>
  <c r="AX7" i="4" s="1"/>
  <c r="AV7" i="7" s="1"/>
  <c r="AZ7" i="7" s="1"/>
  <c r="AW6" i="4"/>
  <c r="AX6" i="4" s="1"/>
  <c r="AW6" i="7" s="1"/>
  <c r="AW5" i="4"/>
  <c r="AX5" i="4" s="1"/>
  <c r="AW5" i="7" s="1"/>
  <c r="AW4" i="4"/>
  <c r="AX4" i="4" s="1"/>
  <c r="BK4" i="4" s="1"/>
  <c r="BA6" i="7" l="1"/>
  <c r="BA14" i="7"/>
  <c r="BA18" i="7"/>
  <c r="BA22" i="7"/>
  <c r="AZ9" i="7"/>
  <c r="AZ25" i="7"/>
  <c r="BA29" i="7"/>
  <c r="BA13" i="7"/>
  <c r="BA30" i="7"/>
  <c r="BA21" i="7"/>
  <c r="AV10" i="7"/>
  <c r="AZ10" i="7" s="1"/>
  <c r="BA5" i="7"/>
  <c r="AZ8" i="7"/>
  <c r="AZ16" i="7"/>
  <c r="AZ24" i="7"/>
  <c r="AV30" i="7"/>
  <c r="AX30" i="7" s="1"/>
  <c r="AV11" i="7"/>
  <c r="AZ11" i="7" s="1"/>
  <c r="AW7" i="7"/>
  <c r="AX7" i="7" s="1"/>
  <c r="BB7" i="7" s="1"/>
  <c r="AV14" i="7"/>
  <c r="AZ14" i="7" s="1"/>
  <c r="AW11" i="7"/>
  <c r="BA11" i="7" s="1"/>
  <c r="AV18" i="7"/>
  <c r="AZ18" i="7" s="1"/>
  <c r="AW15" i="7"/>
  <c r="AX15" i="7" s="1"/>
  <c r="BB15" i="7" s="1"/>
  <c r="AV19" i="7"/>
  <c r="AZ19" i="7" s="1"/>
  <c r="AW19" i="7"/>
  <c r="BA19" i="7" s="1"/>
  <c r="AV22" i="7"/>
  <c r="AZ22" i="7" s="1"/>
  <c r="AW23" i="7"/>
  <c r="AX23" i="7" s="1"/>
  <c r="BB23" i="7" s="1"/>
  <c r="AV26" i="7"/>
  <c r="AZ26" i="7" s="1"/>
  <c r="AW27" i="7"/>
  <c r="BA27" i="7" s="1"/>
  <c r="AV6" i="7"/>
  <c r="AZ6" i="7" s="1"/>
  <c r="AV27" i="7"/>
  <c r="AZ27" i="7" s="1"/>
  <c r="AW16" i="7"/>
  <c r="BA16" i="7" s="1"/>
  <c r="AV4" i="7"/>
  <c r="AZ4" i="7" s="1"/>
  <c r="AV12" i="7"/>
  <c r="AZ12" i="7" s="1"/>
  <c r="AV20" i="7"/>
  <c r="AZ20" i="7" s="1"/>
  <c r="AV28" i="7"/>
  <c r="AZ28" i="7" s="1"/>
  <c r="AW9" i="7"/>
  <c r="BA9" i="7" s="1"/>
  <c r="AW17" i="7"/>
  <c r="BA17" i="7" s="1"/>
  <c r="AW25" i="7"/>
  <c r="BA25" i="7" s="1"/>
  <c r="AW8" i="7"/>
  <c r="BA8" i="7" s="1"/>
  <c r="AW24" i="7"/>
  <c r="BA24" i="7" s="1"/>
  <c r="AV5" i="7"/>
  <c r="AZ5" i="7" s="1"/>
  <c r="AV13" i="7"/>
  <c r="AZ13" i="7" s="1"/>
  <c r="AV21" i="7"/>
  <c r="AZ21" i="7" s="1"/>
  <c r="AV29" i="7"/>
  <c r="AZ29" i="7" s="1"/>
  <c r="AW4" i="7"/>
  <c r="BA4" i="7" s="1"/>
  <c r="AW12" i="7"/>
  <c r="BA12" i="7" s="1"/>
  <c r="AW20" i="7"/>
  <c r="BA20" i="7" s="1"/>
  <c r="AW28" i="7"/>
  <c r="BA28" i="7" s="1"/>
  <c r="AV17" i="7"/>
  <c r="AZ17" i="7" s="1"/>
  <c r="AX21" i="7"/>
  <c r="AX6" i="7"/>
  <c r="AX18" i="7"/>
  <c r="BO15" i="4"/>
  <c r="BK5" i="4"/>
  <c r="BK13" i="4"/>
  <c r="BK21" i="4"/>
  <c r="BK29" i="4"/>
  <c r="BM9" i="4"/>
  <c r="BM17" i="4"/>
  <c r="BM25" i="4"/>
  <c r="BO6" i="4"/>
  <c r="BO14" i="4"/>
  <c r="BO22" i="4"/>
  <c r="BO30" i="4"/>
  <c r="BM16" i="4"/>
  <c r="BO13" i="4"/>
  <c r="BK6" i="4"/>
  <c r="BK14" i="4"/>
  <c r="BK22" i="4"/>
  <c r="BK30" i="4"/>
  <c r="BM10" i="4"/>
  <c r="BM18" i="4"/>
  <c r="BM26" i="4"/>
  <c r="BM24" i="4"/>
  <c r="BO29" i="4"/>
  <c r="BK7" i="4"/>
  <c r="BK15" i="4"/>
  <c r="BK23" i="4"/>
  <c r="BM11" i="4"/>
  <c r="BM19" i="4"/>
  <c r="BM27" i="4"/>
  <c r="BO8" i="4"/>
  <c r="BO16" i="4"/>
  <c r="BO24" i="4"/>
  <c r="BM8" i="4"/>
  <c r="BO5" i="4"/>
  <c r="BO21" i="4"/>
  <c r="BK8" i="4"/>
  <c r="BK24" i="4"/>
  <c r="BM4" i="4"/>
  <c r="BM12" i="4"/>
  <c r="BM20" i="4"/>
  <c r="BM28" i="4"/>
  <c r="BO9" i="4"/>
  <c r="BO17" i="4"/>
  <c r="BO25" i="4"/>
  <c r="BO26" i="4"/>
  <c r="BK10" i="4"/>
  <c r="BK18" i="4"/>
  <c r="BK26" i="4"/>
  <c r="BM6" i="4"/>
  <c r="BM14" i="4"/>
  <c r="BM22" i="4"/>
  <c r="BM30" i="4"/>
  <c r="BK9" i="4"/>
  <c r="BK25" i="4"/>
  <c r="BK16" i="4"/>
  <c r="AW3" i="4"/>
  <c r="AX3" i="4" s="1"/>
  <c r="AX13" i="7" l="1"/>
  <c r="BB13" i="7" s="1"/>
  <c r="BC13" i="7" s="1"/>
  <c r="BA15" i="7"/>
  <c r="AX28" i="7"/>
  <c r="BA7" i="7"/>
  <c r="BC7" i="7" s="1"/>
  <c r="AX26" i="7"/>
  <c r="BB26" i="7" s="1"/>
  <c r="BC26" i="7" s="1"/>
  <c r="BA23" i="7"/>
  <c r="AX14" i="7"/>
  <c r="AY14" i="7" s="1"/>
  <c r="AX22" i="7"/>
  <c r="AY22" i="7" s="1"/>
  <c r="AX5" i="7"/>
  <c r="AY5" i="7" s="1"/>
  <c r="AX11" i="7"/>
  <c r="BB11" i="7" s="1"/>
  <c r="BC11" i="7" s="1"/>
  <c r="AX20" i="7"/>
  <c r="AY20" i="7" s="1"/>
  <c r="AX27" i="7"/>
  <c r="BB27" i="7" s="1"/>
  <c r="BC27" i="7" s="1"/>
  <c r="AX16" i="7"/>
  <c r="BB16" i="7" s="1"/>
  <c r="BC16" i="7" s="1"/>
  <c r="AX10" i="7"/>
  <c r="BB10" i="7" s="1"/>
  <c r="BC10" i="7" s="1"/>
  <c r="AX12" i="7"/>
  <c r="AY12" i="7" s="1"/>
  <c r="AZ30" i="7"/>
  <c r="AZ3" i="7" s="1"/>
  <c r="AX8" i="7"/>
  <c r="AY8" i="7" s="1"/>
  <c r="AX9" i="7"/>
  <c r="AY9" i="7" s="1"/>
  <c r="AX29" i="7"/>
  <c r="BB29" i="7" s="1"/>
  <c r="BC29" i="7" s="1"/>
  <c r="AX4" i="7"/>
  <c r="BB4" i="7" s="1"/>
  <c r="AV3" i="7"/>
  <c r="AX19" i="7"/>
  <c r="BB19" i="7" s="1"/>
  <c r="BC19" i="7" s="1"/>
  <c r="AX24" i="7"/>
  <c r="BB24" i="7" s="1"/>
  <c r="BC24" i="7" s="1"/>
  <c r="AY15" i="7"/>
  <c r="AX25" i="7"/>
  <c r="BB25" i="7" s="1"/>
  <c r="BC25" i="7" s="1"/>
  <c r="AW3" i="7"/>
  <c r="AX17" i="7"/>
  <c r="AY23" i="7"/>
  <c r="BC15" i="7"/>
  <c r="BC23" i="7"/>
  <c r="AY7" i="7"/>
  <c r="AY13" i="7"/>
  <c r="BB20" i="7"/>
  <c r="BC20" i="7" s="1"/>
  <c r="AY30" i="7"/>
  <c r="BB30" i="7"/>
  <c r="BC30" i="7" s="1"/>
  <c r="AY29" i="7"/>
  <c r="AY21" i="7"/>
  <c r="BB21" i="7"/>
  <c r="BC21" i="7" s="1"/>
  <c r="AY28" i="7"/>
  <c r="BB28" i="7"/>
  <c r="BC28" i="7" s="1"/>
  <c r="AY6" i="7"/>
  <c r="BB6" i="7"/>
  <c r="BC6" i="7" s="1"/>
  <c r="AY26" i="7"/>
  <c r="AY18" i="7"/>
  <c r="BB18" i="7"/>
  <c r="BC18" i="7" s="1"/>
  <c r="AY4" i="7"/>
  <c r="AL30" i="4"/>
  <c r="AN30" i="4" s="1"/>
  <c r="AL29" i="4"/>
  <c r="AN29" i="4" s="1"/>
  <c r="AL28" i="4"/>
  <c r="AN28" i="4" s="1"/>
  <c r="AL27" i="4"/>
  <c r="AN27" i="4" s="1"/>
  <c r="AL26" i="4"/>
  <c r="AN26" i="4" s="1"/>
  <c r="AL25" i="4"/>
  <c r="AN25" i="4" s="1"/>
  <c r="AL24" i="4"/>
  <c r="AN24" i="4" s="1"/>
  <c r="AL23" i="4"/>
  <c r="AN23" i="4" s="1"/>
  <c r="AL22" i="4"/>
  <c r="AN22" i="4" s="1"/>
  <c r="AL21" i="4"/>
  <c r="AN21" i="4" s="1"/>
  <c r="AL20" i="4"/>
  <c r="AN20" i="4" s="1"/>
  <c r="AL19" i="4"/>
  <c r="AN19" i="4" s="1"/>
  <c r="AL18" i="4"/>
  <c r="AN18" i="4" s="1"/>
  <c r="AL17" i="4"/>
  <c r="AN17" i="4" s="1"/>
  <c r="AL16" i="4"/>
  <c r="AN16" i="4" s="1"/>
  <c r="AL15" i="4"/>
  <c r="AN15" i="4" s="1"/>
  <c r="AL14" i="4"/>
  <c r="AN14" i="4" s="1"/>
  <c r="AL13" i="4"/>
  <c r="AN13" i="4" s="1"/>
  <c r="AL12" i="4"/>
  <c r="AN12" i="4" s="1"/>
  <c r="AL11" i="4"/>
  <c r="AN11" i="4" s="1"/>
  <c r="AL10" i="4"/>
  <c r="AN10" i="4" s="1"/>
  <c r="AL9" i="4"/>
  <c r="AN9" i="4" s="1"/>
  <c r="AL8" i="4"/>
  <c r="AN8" i="4" s="1"/>
  <c r="AL7" i="4"/>
  <c r="AN7" i="4" s="1"/>
  <c r="AL6" i="4"/>
  <c r="AN6" i="4" s="1"/>
  <c r="AL5" i="4"/>
  <c r="AN5" i="4" s="1"/>
  <c r="AL4" i="4"/>
  <c r="AN4" i="4" s="1"/>
  <c r="AY10" i="7" l="1"/>
  <c r="AY16" i="7"/>
  <c r="AY11" i="7"/>
  <c r="BB14" i="7"/>
  <c r="BC14" i="7" s="1"/>
  <c r="BA3" i="7"/>
  <c r="BB22" i="7"/>
  <c r="BC22" i="7" s="1"/>
  <c r="AY25" i="7"/>
  <c r="BB9" i="7"/>
  <c r="BC9" i="7" s="1"/>
  <c r="BB8" i="7"/>
  <c r="BC8" i="7" s="1"/>
  <c r="BB5" i="7"/>
  <c r="BC5" i="7" s="1"/>
  <c r="AX3" i="7"/>
  <c r="AY3" i="7" s="1"/>
  <c r="AY24" i="7"/>
  <c r="BB17" i="7"/>
  <c r="BC17" i="7" s="1"/>
  <c r="AY19" i="7"/>
  <c r="BB12" i="7"/>
  <c r="BC12" i="7" s="1"/>
  <c r="AY27" i="7"/>
  <c r="AY17" i="7"/>
  <c r="BC4" i="7"/>
  <c r="T3" i="4"/>
  <c r="T30" i="4"/>
  <c r="T29" i="4"/>
  <c r="T28" i="4"/>
  <c r="T27" i="4"/>
  <c r="T26" i="4"/>
  <c r="T25" i="4"/>
  <c r="T24" i="4"/>
  <c r="T23" i="4"/>
  <c r="T22" i="4"/>
  <c r="T21" i="4"/>
  <c r="T20" i="4"/>
  <c r="T19" i="4"/>
  <c r="T18" i="4"/>
  <c r="T17" i="4"/>
  <c r="T16" i="4"/>
  <c r="T15" i="4"/>
  <c r="T14" i="4"/>
  <c r="T13" i="4"/>
  <c r="T12" i="4"/>
  <c r="T11" i="4"/>
  <c r="T10" i="4"/>
  <c r="T9" i="4"/>
  <c r="T8" i="4"/>
  <c r="T7" i="4"/>
  <c r="T6" i="4"/>
  <c r="T5" i="4"/>
  <c r="T4" i="4"/>
  <c r="E17" i="4"/>
  <c r="E18" i="4"/>
  <c r="X29" i="4" s="1"/>
  <c r="BB3" i="7" l="1"/>
  <c r="BC3" i="7" s="1"/>
  <c r="X3" i="4"/>
  <c r="X7" i="4"/>
  <c r="X8" i="4"/>
  <c r="X15" i="4"/>
  <c r="W3" i="4"/>
  <c r="BN24" i="4"/>
  <c r="BN8" i="4"/>
  <c r="BL15" i="4"/>
  <c r="BJ27" i="4"/>
  <c r="BN29" i="4"/>
  <c r="BN22" i="4"/>
  <c r="BN11" i="4"/>
  <c r="BL9" i="4"/>
  <c r="BL6" i="4"/>
  <c r="BL24" i="4"/>
  <c r="BJ10" i="4"/>
  <c r="BN7" i="4"/>
  <c r="BN12" i="4"/>
  <c r="BL20" i="4"/>
  <c r="BL4" i="4"/>
  <c r="BN26" i="4"/>
  <c r="BN15" i="4"/>
  <c r="BL13" i="4"/>
  <c r="BL10" i="4"/>
  <c r="BJ15" i="4"/>
  <c r="BJ14" i="4"/>
  <c r="BJ12" i="4"/>
  <c r="BJ7" i="4"/>
  <c r="BN5" i="4"/>
  <c r="BL7" i="4"/>
  <c r="BN30" i="4"/>
  <c r="BN19" i="4"/>
  <c r="BL17" i="4"/>
  <c r="BL14" i="4"/>
  <c r="BL11" i="4"/>
  <c r="BJ16" i="4"/>
  <c r="BJ4" i="4"/>
  <c r="BJ18" i="4"/>
  <c r="BJ28" i="4"/>
  <c r="BN20" i="4"/>
  <c r="BN25" i="4"/>
  <c r="BJ19" i="4"/>
  <c r="BN9" i="4"/>
  <c r="BL23" i="4"/>
  <c r="BJ8" i="4"/>
  <c r="BN23" i="4"/>
  <c r="BL21" i="4"/>
  <c r="BL18" i="4"/>
  <c r="BL19" i="4"/>
  <c r="BJ9" i="4"/>
  <c r="BJ22" i="4"/>
  <c r="BJ26" i="4"/>
  <c r="BJ24" i="4"/>
  <c r="BL5" i="4"/>
  <c r="BJ5" i="4"/>
  <c r="BN16" i="4"/>
  <c r="BN13" i="4"/>
  <c r="BN6" i="4"/>
  <c r="BN27" i="4"/>
  <c r="BL25" i="4"/>
  <c r="BL22" i="4"/>
  <c r="BL27" i="4"/>
  <c r="BJ13" i="4"/>
  <c r="BN18" i="4"/>
  <c r="BJ29" i="4"/>
  <c r="BN28" i="4"/>
  <c r="BN17" i="4"/>
  <c r="BN10" i="4"/>
  <c r="BL12" i="4"/>
  <c r="BJ23" i="4"/>
  <c r="BL29" i="4"/>
  <c r="BL26" i="4"/>
  <c r="BJ20" i="4"/>
  <c r="BJ21" i="4"/>
  <c r="BJ30" i="4"/>
  <c r="BL16" i="4"/>
  <c r="BN4" i="4"/>
  <c r="BN21" i="4"/>
  <c r="BN14" i="4"/>
  <c r="BL28" i="4"/>
  <c r="BJ6" i="4"/>
  <c r="BJ17" i="4"/>
  <c r="BL30" i="4"/>
  <c r="BL8" i="4"/>
  <c r="BJ25" i="4"/>
  <c r="BJ11" i="4"/>
  <c r="X16" i="4"/>
  <c r="X23" i="4"/>
  <c r="X24" i="4"/>
  <c r="W24" i="4"/>
  <c r="X10" i="4"/>
  <c r="X18" i="4"/>
  <c r="X26" i="4"/>
  <c r="X11" i="4"/>
  <c r="X19" i="4"/>
  <c r="X27" i="4"/>
  <c r="W4" i="4"/>
  <c r="W12" i="4"/>
  <c r="W20" i="4"/>
  <c r="W28" i="4"/>
  <c r="W8" i="4"/>
  <c r="X4" i="4"/>
  <c r="X12" i="4"/>
  <c r="X20" i="4"/>
  <c r="X28" i="4"/>
  <c r="W16" i="4"/>
  <c r="X6" i="4"/>
  <c r="X14" i="4"/>
  <c r="X22" i="4"/>
  <c r="X30" i="4"/>
  <c r="W5" i="4"/>
  <c r="W9" i="4"/>
  <c r="W13" i="4"/>
  <c r="W17" i="4"/>
  <c r="W21" i="4"/>
  <c r="W25" i="4"/>
  <c r="W29" i="4"/>
  <c r="X5" i="4"/>
  <c r="X9" i="4"/>
  <c r="X13" i="4"/>
  <c r="X17" i="4"/>
  <c r="X21" i="4"/>
  <c r="X25" i="4"/>
  <c r="W6" i="4"/>
  <c r="W10" i="4"/>
  <c r="W14" i="4"/>
  <c r="W18" i="4"/>
  <c r="W22" i="4"/>
  <c r="W26" i="4"/>
  <c r="W30" i="4"/>
  <c r="W7" i="4"/>
  <c r="W11" i="4"/>
  <c r="W15" i="4"/>
  <c r="W19" i="4"/>
  <c r="W23" i="4"/>
  <c r="W27" i="4"/>
  <c r="M3" i="3"/>
  <c r="J3" i="3"/>
  <c r="R4" i="5"/>
  <c r="BI3" i="4" s="1"/>
  <c r="Q4" i="5"/>
  <c r="O4" i="5"/>
  <c r="M4" i="5"/>
  <c r="D3" i="3"/>
  <c r="C3" i="3"/>
  <c r="B3" i="3"/>
  <c r="S12" i="5"/>
  <c r="AI11" i="7" s="1"/>
  <c r="P31" i="5"/>
  <c r="BH30" i="4" s="1"/>
  <c r="P30" i="5"/>
  <c r="BH29" i="4" s="1"/>
  <c r="P29" i="5"/>
  <c r="BH28" i="4" s="1"/>
  <c r="P28" i="5"/>
  <c r="BH27" i="4" s="1"/>
  <c r="P27" i="5"/>
  <c r="BH26" i="4" s="1"/>
  <c r="P26" i="5"/>
  <c r="BH25" i="4" s="1"/>
  <c r="P25" i="5"/>
  <c r="BH24" i="4" s="1"/>
  <c r="P24" i="5"/>
  <c r="BH23" i="4" s="1"/>
  <c r="P23" i="5"/>
  <c r="BH22" i="4" s="1"/>
  <c r="P22" i="5"/>
  <c r="BH21" i="4" s="1"/>
  <c r="P21" i="5"/>
  <c r="BH20" i="4" s="1"/>
  <c r="P20" i="5"/>
  <c r="BH19" i="4" s="1"/>
  <c r="P19" i="5"/>
  <c r="BH18" i="4" s="1"/>
  <c r="P18" i="5"/>
  <c r="BH17" i="4" s="1"/>
  <c r="P17" i="5"/>
  <c r="BH16" i="4" s="1"/>
  <c r="P16" i="5"/>
  <c r="BH15" i="4" s="1"/>
  <c r="P15" i="5"/>
  <c r="BH14" i="4" s="1"/>
  <c r="P14" i="5"/>
  <c r="BH13" i="4" s="1"/>
  <c r="P13" i="5"/>
  <c r="BH12" i="4" s="1"/>
  <c r="P12" i="5"/>
  <c r="BH11" i="4" s="1"/>
  <c r="P11" i="5"/>
  <c r="BH10" i="4" s="1"/>
  <c r="P10" i="5"/>
  <c r="BH9" i="4" s="1"/>
  <c r="P9" i="5"/>
  <c r="BH8" i="4" s="1"/>
  <c r="P8" i="5"/>
  <c r="BH7" i="4" s="1"/>
  <c r="P7" i="5"/>
  <c r="BH6" i="4" s="1"/>
  <c r="P6" i="5"/>
  <c r="BH5" i="4" s="1"/>
  <c r="P5" i="5"/>
  <c r="BH4" i="4" s="1"/>
  <c r="N31" i="5"/>
  <c r="BG30" i="4" s="1"/>
  <c r="N30" i="5"/>
  <c r="BG29" i="4" s="1"/>
  <c r="N29" i="5"/>
  <c r="BG28" i="4" s="1"/>
  <c r="N28" i="5"/>
  <c r="BG27" i="4" s="1"/>
  <c r="N27" i="5"/>
  <c r="BG26" i="4" s="1"/>
  <c r="N26" i="5"/>
  <c r="BG25" i="4" s="1"/>
  <c r="N25" i="5"/>
  <c r="BG24" i="4" s="1"/>
  <c r="N24" i="5"/>
  <c r="BG23" i="4" s="1"/>
  <c r="N23" i="5"/>
  <c r="BG22" i="4" s="1"/>
  <c r="N22" i="5"/>
  <c r="BG21" i="4" s="1"/>
  <c r="N21" i="5"/>
  <c r="BG20" i="4" s="1"/>
  <c r="N20" i="5"/>
  <c r="BG19" i="4" s="1"/>
  <c r="N19" i="5"/>
  <c r="BG18" i="4" s="1"/>
  <c r="N18" i="5"/>
  <c r="BG17" i="4" s="1"/>
  <c r="N17" i="5"/>
  <c r="BG16" i="4" s="1"/>
  <c r="N16" i="5"/>
  <c r="BG15" i="4" s="1"/>
  <c r="N15" i="5"/>
  <c r="BG14" i="4" s="1"/>
  <c r="N14" i="5"/>
  <c r="BG13" i="4" s="1"/>
  <c r="N13" i="5"/>
  <c r="BG12" i="4" s="1"/>
  <c r="N12" i="5"/>
  <c r="BG11" i="4" s="1"/>
  <c r="N11" i="5"/>
  <c r="BG10" i="4" s="1"/>
  <c r="N10" i="5"/>
  <c r="BG9" i="4" s="1"/>
  <c r="N9" i="5"/>
  <c r="BG8" i="4" s="1"/>
  <c r="N8" i="5"/>
  <c r="BG7" i="4" s="1"/>
  <c r="N7" i="5"/>
  <c r="BG6" i="4" s="1"/>
  <c r="N6" i="5"/>
  <c r="BG5" i="4" s="1"/>
  <c r="N5" i="5"/>
  <c r="BG4" i="4" s="1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S13" i="5" l="1"/>
  <c r="AI12" i="7" s="1"/>
  <c r="S20" i="5"/>
  <c r="AI19" i="7" s="1"/>
  <c r="S21" i="5"/>
  <c r="AI20" i="7" s="1"/>
  <c r="S28" i="5"/>
  <c r="AI27" i="7" s="1"/>
  <c r="S29" i="5"/>
  <c r="AI28" i="7" s="1"/>
  <c r="S6" i="5"/>
  <c r="AI5" i="7" s="1"/>
  <c r="S14" i="5"/>
  <c r="AI13" i="7" s="1"/>
  <c r="Q13" i="11" s="1"/>
  <c r="S22" i="5"/>
  <c r="AI21" i="7" s="1"/>
  <c r="Q21" i="11" s="1"/>
  <c r="S30" i="5"/>
  <c r="AI29" i="7" s="1"/>
  <c r="P4" i="5"/>
  <c r="BH3" i="4" s="1"/>
  <c r="S7" i="5"/>
  <c r="S15" i="5"/>
  <c r="S23" i="5"/>
  <c r="S31" i="5"/>
  <c r="S8" i="5"/>
  <c r="S16" i="5"/>
  <c r="S24" i="5"/>
  <c r="N4" i="5"/>
  <c r="BG3" i="4" s="1"/>
  <c r="S9" i="5"/>
  <c r="AI8" i="7" s="1"/>
  <c r="Q8" i="11" s="1"/>
  <c r="S17" i="5"/>
  <c r="AI16" i="7" s="1"/>
  <c r="Q16" i="11" s="1"/>
  <c r="S25" i="5"/>
  <c r="AI24" i="7" s="1"/>
  <c r="Q24" i="11" s="1"/>
  <c r="S10" i="5"/>
  <c r="AI9" i="7" s="1"/>
  <c r="S18" i="5"/>
  <c r="AI17" i="7" s="1"/>
  <c r="Q17" i="11" s="1"/>
  <c r="S26" i="5"/>
  <c r="AI25" i="7" s="1"/>
  <c r="Q25" i="11" s="1"/>
  <c r="S11" i="5"/>
  <c r="AI10" i="7" s="1"/>
  <c r="S19" i="5"/>
  <c r="AI18" i="7" s="1"/>
  <c r="S27" i="5"/>
  <c r="AI26" i="7" s="1"/>
  <c r="Q26" i="11" s="1"/>
  <c r="AL3" i="4"/>
  <c r="AN3" i="4" s="1"/>
  <c r="Q18" i="11"/>
  <c r="Q11" i="11"/>
  <c r="Q19" i="11"/>
  <c r="Q27" i="11"/>
  <c r="Q12" i="11"/>
  <c r="Q20" i="11"/>
  <c r="Q28" i="11"/>
  <c r="E16" i="3"/>
  <c r="K16" i="3" s="1"/>
  <c r="Q29" i="11"/>
  <c r="E18" i="3"/>
  <c r="K18" i="3" s="1"/>
  <c r="E11" i="3"/>
  <c r="K11" i="3" s="1"/>
  <c r="Q10" i="11"/>
  <c r="E10" i="3"/>
  <c r="K10" i="3" s="1"/>
  <c r="E19" i="3"/>
  <c r="K19" i="3" s="1"/>
  <c r="E12" i="3"/>
  <c r="K12" i="3" s="1"/>
  <c r="E20" i="3"/>
  <c r="K20" i="3" s="1"/>
  <c r="E28" i="3"/>
  <c r="K28" i="3" s="1"/>
  <c r="Q5" i="11"/>
  <c r="E27" i="3"/>
  <c r="K27" i="3" s="1"/>
  <c r="Q9" i="11"/>
  <c r="E5" i="3"/>
  <c r="K5" i="3" s="1"/>
  <c r="E29" i="3"/>
  <c r="K29" i="3" s="1"/>
  <c r="BU14" i="4"/>
  <c r="BR14" i="4"/>
  <c r="BU30" i="4"/>
  <c r="BR30" i="4"/>
  <c r="BU8" i="4"/>
  <c r="BR8" i="4"/>
  <c r="BU21" i="4"/>
  <c r="BR21" i="4"/>
  <c r="BU23" i="4"/>
  <c r="BR23" i="4"/>
  <c r="BU15" i="4"/>
  <c r="BR15" i="4"/>
  <c r="BU24" i="4"/>
  <c r="BR24" i="4"/>
  <c r="BU28" i="4"/>
  <c r="BR28" i="4"/>
  <c r="BU19" i="4"/>
  <c r="BR19" i="4"/>
  <c r="BU4" i="4"/>
  <c r="BR4" i="4"/>
  <c r="BU5" i="4"/>
  <c r="BR5" i="4"/>
  <c r="BU26" i="4"/>
  <c r="BR26" i="4"/>
  <c r="BU16" i="4"/>
  <c r="BR16" i="4"/>
  <c r="BU10" i="4"/>
  <c r="BR10" i="4"/>
  <c r="BU11" i="4"/>
  <c r="BR11" i="4"/>
  <c r="BU6" i="4"/>
  <c r="BR6" i="4"/>
  <c r="BU18" i="4"/>
  <c r="BR18" i="4"/>
  <c r="BU20" i="4"/>
  <c r="BR20" i="4"/>
  <c r="BU17" i="4"/>
  <c r="BR17" i="4"/>
  <c r="BU27" i="4"/>
  <c r="BR27" i="4"/>
  <c r="BU9" i="4"/>
  <c r="BR9" i="4"/>
  <c r="BU22" i="4"/>
  <c r="BR22" i="4"/>
  <c r="BU12" i="4"/>
  <c r="BR12" i="4"/>
  <c r="BU29" i="4"/>
  <c r="BR29" i="4"/>
  <c r="BU13" i="4"/>
  <c r="BR13" i="4"/>
  <c r="BU25" i="4"/>
  <c r="BR25" i="4"/>
  <c r="BU7" i="4"/>
  <c r="BR7" i="4"/>
  <c r="BS11" i="4"/>
  <c r="BP11" i="4"/>
  <c r="BT23" i="4"/>
  <c r="BQ23" i="4"/>
  <c r="BS28" i="4"/>
  <c r="BP28" i="4"/>
  <c r="BS14" i="4"/>
  <c r="BP14" i="4"/>
  <c r="BT4" i="4"/>
  <c r="BQ4" i="4"/>
  <c r="BS27" i="4"/>
  <c r="BP27" i="4"/>
  <c r="BS20" i="4"/>
  <c r="BP20" i="4"/>
  <c r="BT22" i="4"/>
  <c r="BQ22" i="4"/>
  <c r="BS5" i="4"/>
  <c r="BP5" i="4"/>
  <c r="BS9" i="4"/>
  <c r="BP9" i="4"/>
  <c r="BS18" i="4"/>
  <c r="BP18" i="4"/>
  <c r="BT20" i="4"/>
  <c r="BQ20" i="4"/>
  <c r="BT15" i="4"/>
  <c r="BQ15" i="4"/>
  <c r="BS19" i="4"/>
  <c r="BP19" i="4"/>
  <c r="BT26" i="4"/>
  <c r="BQ26" i="4"/>
  <c r="BS29" i="4"/>
  <c r="BP29" i="4"/>
  <c r="BS24" i="4"/>
  <c r="BP24" i="4"/>
  <c r="BT19" i="4"/>
  <c r="BQ19" i="4"/>
  <c r="BS4" i="4"/>
  <c r="BP4" i="4"/>
  <c r="BS15" i="4"/>
  <c r="BP15" i="4"/>
  <c r="BT6" i="4"/>
  <c r="BQ6" i="4"/>
  <c r="BT28" i="4"/>
  <c r="BQ28" i="4"/>
  <c r="BS25" i="4"/>
  <c r="BP25" i="4"/>
  <c r="BT25" i="4"/>
  <c r="BQ25" i="4"/>
  <c r="BT8" i="4"/>
  <c r="BQ8" i="4"/>
  <c r="BT16" i="4"/>
  <c r="BQ16" i="4"/>
  <c r="BT29" i="4"/>
  <c r="BQ29" i="4"/>
  <c r="BS26" i="4"/>
  <c r="BP26" i="4"/>
  <c r="BT18" i="4"/>
  <c r="BQ18" i="4"/>
  <c r="BS16" i="4"/>
  <c r="BP16" i="4"/>
  <c r="BT10" i="4"/>
  <c r="BQ10" i="4"/>
  <c r="BT9" i="4"/>
  <c r="BQ9" i="4"/>
  <c r="BS21" i="4"/>
  <c r="BP21" i="4"/>
  <c r="BT7" i="4"/>
  <c r="BQ7" i="4"/>
  <c r="BT24" i="4"/>
  <c r="BQ24" i="4"/>
  <c r="BT30" i="4"/>
  <c r="BQ30" i="4"/>
  <c r="BS23" i="4"/>
  <c r="BP23" i="4"/>
  <c r="BT21" i="4"/>
  <c r="BQ21" i="4"/>
  <c r="BT11" i="4"/>
  <c r="BQ11" i="4"/>
  <c r="BS7" i="4"/>
  <c r="BP7" i="4"/>
  <c r="BT13" i="4"/>
  <c r="BQ13" i="4"/>
  <c r="BT5" i="4"/>
  <c r="BQ5" i="4"/>
  <c r="BS17" i="4"/>
  <c r="BP17" i="4"/>
  <c r="BS30" i="4"/>
  <c r="BP30" i="4"/>
  <c r="BT12" i="4"/>
  <c r="BQ12" i="4"/>
  <c r="BS13" i="4"/>
  <c r="BP13" i="4"/>
  <c r="BT14" i="4"/>
  <c r="BQ14" i="4"/>
  <c r="BT27" i="4"/>
  <c r="BQ27" i="4"/>
  <c r="BS6" i="4"/>
  <c r="BP6" i="4"/>
  <c r="BS22" i="4"/>
  <c r="BP22" i="4"/>
  <c r="BS8" i="4"/>
  <c r="BP8" i="4"/>
  <c r="BT17" i="4"/>
  <c r="BQ17" i="4"/>
  <c r="BS12" i="4"/>
  <c r="BP12" i="4"/>
  <c r="BS10" i="4"/>
  <c r="BP10" i="4"/>
  <c r="AA29" i="3"/>
  <c r="Y27" i="3"/>
  <c r="Y11" i="3"/>
  <c r="Y29" i="3"/>
  <c r="Y12" i="3"/>
  <c r="AA18" i="3"/>
  <c r="AA11" i="3"/>
  <c r="AA27" i="3"/>
  <c r="M35" i="2"/>
  <c r="E14" i="16" s="1"/>
  <c r="E35" i="2"/>
  <c r="G14" i="16" s="1"/>
  <c r="L55" i="2"/>
  <c r="M55" i="2" s="1"/>
  <c r="E16" i="16" s="1"/>
  <c r="D55" i="2"/>
  <c r="E55" i="2" s="1"/>
  <c r="G16" i="16" s="1"/>
  <c r="H16" i="16" s="1"/>
  <c r="L13" i="2"/>
  <c r="M13" i="2" s="1"/>
  <c r="E13" i="2"/>
  <c r="E23" i="2"/>
  <c r="Q23" i="2" s="1"/>
  <c r="AC24" i="3" s="1"/>
  <c r="D28" i="2"/>
  <c r="E28" i="2" s="1"/>
  <c r="M28" i="2"/>
  <c r="L28" i="2"/>
  <c r="E3" i="2"/>
  <c r="M18" i="2"/>
  <c r="Q18" i="2" s="1"/>
  <c r="AC19" i="3" s="1"/>
  <c r="R18" i="3"/>
  <c r="R21" i="3"/>
  <c r="R26" i="3"/>
  <c r="R23" i="3"/>
  <c r="R15" i="3"/>
  <c r="R7" i="3"/>
  <c r="R13" i="3"/>
  <c r="R10" i="3"/>
  <c r="R30" i="3"/>
  <c r="R29" i="3"/>
  <c r="X29" i="3" s="1"/>
  <c r="R27" i="3"/>
  <c r="Z27" i="3" s="1"/>
  <c r="R22" i="3"/>
  <c r="R20" i="3"/>
  <c r="R17" i="3"/>
  <c r="R16" i="3"/>
  <c r="R11" i="3"/>
  <c r="Z11" i="3" s="1"/>
  <c r="R8" i="3"/>
  <c r="R6" i="3"/>
  <c r="R5" i="3"/>
  <c r="O9" i="3"/>
  <c r="O28" i="3"/>
  <c r="O26" i="3"/>
  <c r="AI29" i="3"/>
  <c r="AI28" i="3"/>
  <c r="AI27" i="3"/>
  <c r="AI11" i="3"/>
  <c r="AI10" i="3"/>
  <c r="AH29" i="3"/>
  <c r="AH28" i="3"/>
  <c r="AH27" i="3"/>
  <c r="AH19" i="3"/>
  <c r="AH12" i="3"/>
  <c r="AH11" i="3"/>
  <c r="O15" i="3"/>
  <c r="O12" i="3"/>
  <c r="O10" i="3"/>
  <c r="Z18" i="3" l="1"/>
  <c r="Y18" i="3"/>
  <c r="E17" i="3"/>
  <c r="AI5" i="3"/>
  <c r="X12" i="3"/>
  <c r="H14" i="16"/>
  <c r="AA5" i="3"/>
  <c r="E25" i="3"/>
  <c r="AI25" i="3" s="1"/>
  <c r="AH18" i="3"/>
  <c r="AA12" i="3"/>
  <c r="X20" i="3"/>
  <c r="Q28" i="2"/>
  <c r="AC28" i="3" s="1"/>
  <c r="AI12" i="3"/>
  <c r="Z12" i="3"/>
  <c r="E21" i="3"/>
  <c r="BR3" i="4"/>
  <c r="AH5" i="3"/>
  <c r="AI18" i="3"/>
  <c r="E13" i="3"/>
  <c r="AI22" i="7"/>
  <c r="Q22" i="11" s="1"/>
  <c r="R22" i="11" s="1"/>
  <c r="E22" i="3"/>
  <c r="AH10" i="3"/>
  <c r="AI19" i="3"/>
  <c r="X18" i="3"/>
  <c r="Y16" i="3"/>
  <c r="BS3" i="4"/>
  <c r="BU3" i="4"/>
  <c r="E8" i="3"/>
  <c r="Z8" i="3" s="1"/>
  <c r="AI14" i="7"/>
  <c r="Q14" i="11" s="1"/>
  <c r="E14" i="3"/>
  <c r="AA28" i="3"/>
  <c r="AA16" i="3"/>
  <c r="Z16" i="3"/>
  <c r="X10" i="3"/>
  <c r="X27" i="3"/>
  <c r="Z19" i="3"/>
  <c r="BQ3" i="4"/>
  <c r="AI23" i="7"/>
  <c r="Q23" i="11" s="1"/>
  <c r="C23" i="11" s="1"/>
  <c r="E23" i="3"/>
  <c r="Z23" i="3" s="1"/>
  <c r="BP3" i="4"/>
  <c r="AI6" i="7"/>
  <c r="Q6" i="11" s="1"/>
  <c r="E6" i="3"/>
  <c r="X11" i="3"/>
  <c r="X28" i="3"/>
  <c r="BT3" i="4"/>
  <c r="E9" i="3"/>
  <c r="Z9" i="3" s="1"/>
  <c r="AI15" i="7"/>
  <c r="Q15" i="11" s="1"/>
  <c r="E15" i="3"/>
  <c r="Z15" i="3" s="1"/>
  <c r="AI16" i="3"/>
  <c r="Z10" i="3"/>
  <c r="Y10" i="3"/>
  <c r="E26" i="3"/>
  <c r="Z26" i="3" s="1"/>
  <c r="AI7" i="7"/>
  <c r="Q7" i="11" s="1"/>
  <c r="C7" i="11" s="1"/>
  <c r="E7" i="3"/>
  <c r="X7" i="3" s="1"/>
  <c r="Q35" i="2"/>
  <c r="AH16" i="3"/>
  <c r="Z22" i="3"/>
  <c r="AA10" i="3"/>
  <c r="E24" i="3"/>
  <c r="AI30" i="7"/>
  <c r="Q30" i="11" s="1"/>
  <c r="C30" i="11" s="1"/>
  <c r="E30" i="3"/>
  <c r="C17" i="11"/>
  <c r="B17" i="10"/>
  <c r="R17" i="11"/>
  <c r="R21" i="11"/>
  <c r="B21" i="10"/>
  <c r="C21" i="11"/>
  <c r="AH25" i="3"/>
  <c r="Y5" i="3"/>
  <c r="Y20" i="3"/>
  <c r="C26" i="11"/>
  <c r="F27" i="12" s="1"/>
  <c r="B26" i="10"/>
  <c r="R26" i="11"/>
  <c r="R20" i="11"/>
  <c r="C20" i="11"/>
  <c r="B20" i="10"/>
  <c r="B11" i="10"/>
  <c r="C11" i="11"/>
  <c r="R11" i="11"/>
  <c r="R15" i="11"/>
  <c r="C15" i="11"/>
  <c r="F16" i="12" s="1"/>
  <c r="B15" i="10"/>
  <c r="B29" i="10"/>
  <c r="R29" i="11"/>
  <c r="C29" i="11"/>
  <c r="F30" i="12" s="1"/>
  <c r="Z20" i="3"/>
  <c r="AA26" i="3"/>
  <c r="Y26" i="3"/>
  <c r="B7" i="10"/>
  <c r="B8" i="10"/>
  <c r="R8" i="11"/>
  <c r="C8" i="11"/>
  <c r="B10" i="10"/>
  <c r="R10" i="11"/>
  <c r="C10" i="11"/>
  <c r="R28" i="11"/>
  <c r="B28" i="10"/>
  <c r="C28" i="11"/>
  <c r="F29" i="12" s="1"/>
  <c r="B19" i="10"/>
  <c r="R19" i="11"/>
  <c r="C19" i="11"/>
  <c r="P20" i="12" s="1"/>
  <c r="Z20" i="12" s="1"/>
  <c r="R14" i="11"/>
  <c r="B14" i="10"/>
  <c r="S15" i="12" s="1"/>
  <c r="C14" i="11"/>
  <c r="R25" i="11"/>
  <c r="B25" i="10"/>
  <c r="C25" i="11"/>
  <c r="G26" i="12" s="1"/>
  <c r="B22" i="10"/>
  <c r="AH20" i="3"/>
  <c r="Z28" i="3"/>
  <c r="AA20" i="3"/>
  <c r="AA19" i="3"/>
  <c r="Y28" i="3"/>
  <c r="R16" i="11"/>
  <c r="C16" i="11"/>
  <c r="B16" i="10"/>
  <c r="C13" i="11"/>
  <c r="R13" i="11"/>
  <c r="B13" i="10"/>
  <c r="R27" i="11"/>
  <c r="C27" i="11"/>
  <c r="B27" i="10"/>
  <c r="AI20" i="3"/>
  <c r="Z5" i="3"/>
  <c r="B9" i="10"/>
  <c r="R9" i="11"/>
  <c r="C9" i="11"/>
  <c r="F10" i="12" s="1"/>
  <c r="R5" i="11"/>
  <c r="C5" i="11"/>
  <c r="B5" i="10"/>
  <c r="Z21" i="3"/>
  <c r="B24" i="10"/>
  <c r="R24" i="11"/>
  <c r="C24" i="11"/>
  <c r="F25" i="12" s="1"/>
  <c r="R6" i="11"/>
  <c r="B6" i="10"/>
  <c r="C6" i="11"/>
  <c r="R12" i="11"/>
  <c r="C12" i="11"/>
  <c r="B12" i="10"/>
  <c r="B18" i="10"/>
  <c r="S19" i="12" s="1"/>
  <c r="C18" i="11"/>
  <c r="P19" i="12" s="1"/>
  <c r="Z19" i="12" s="1"/>
  <c r="R18" i="11"/>
  <c r="X21" i="3"/>
  <c r="X5" i="3"/>
  <c r="X13" i="3"/>
  <c r="X22" i="3"/>
  <c r="Z29" i="3"/>
  <c r="X6" i="3"/>
  <c r="X8" i="3"/>
  <c r="X16" i="3"/>
  <c r="Q55" i="2"/>
  <c r="Q13" i="2"/>
  <c r="AC14" i="3" s="1"/>
  <c r="K21" i="3" l="1"/>
  <c r="AI21" i="3"/>
  <c r="AH21" i="3"/>
  <c r="B23" i="10"/>
  <c r="X23" i="3"/>
  <c r="S10" i="12"/>
  <c r="O10" i="12"/>
  <c r="AA21" i="3"/>
  <c r="S20" i="12"/>
  <c r="O20" i="12"/>
  <c r="B30" i="10"/>
  <c r="Z7" i="3"/>
  <c r="K13" i="3"/>
  <c r="Y13" i="3"/>
  <c r="AI13" i="3"/>
  <c r="AA13" i="3"/>
  <c r="AH13" i="3"/>
  <c r="S30" i="12"/>
  <c r="O30" i="12"/>
  <c r="K17" i="3"/>
  <c r="Z17" i="3"/>
  <c r="X17" i="3"/>
  <c r="AI17" i="3"/>
  <c r="AH17" i="3"/>
  <c r="AA17" i="3"/>
  <c r="Y17" i="3"/>
  <c r="R7" i="11"/>
  <c r="D7" i="11" s="1"/>
  <c r="Z13" i="3"/>
  <c r="K25" i="3"/>
  <c r="O25" i="3"/>
  <c r="Z25" i="3" s="1"/>
  <c r="AA25" i="3"/>
  <c r="Y21" i="3"/>
  <c r="O25" i="12"/>
  <c r="S25" i="12"/>
  <c r="Q26" i="12"/>
  <c r="B26" i="24" s="1"/>
  <c r="H26" i="24" s="1"/>
  <c r="S29" i="12"/>
  <c r="O29" i="12"/>
  <c r="O27" i="12"/>
  <c r="S27" i="12"/>
  <c r="R23" i="11"/>
  <c r="K22" i="3"/>
  <c r="AA22" i="3"/>
  <c r="Y22" i="3"/>
  <c r="AI22" i="3"/>
  <c r="AH22" i="3"/>
  <c r="K30" i="3"/>
  <c r="AH30" i="3"/>
  <c r="Y30" i="3"/>
  <c r="AI30" i="3"/>
  <c r="AA30" i="3"/>
  <c r="K6" i="3"/>
  <c r="Y6" i="3"/>
  <c r="AA6" i="3"/>
  <c r="AH6" i="3"/>
  <c r="AI6" i="3"/>
  <c r="C22" i="11"/>
  <c r="K26" i="3"/>
  <c r="AI26" i="3"/>
  <c r="AH26" i="3"/>
  <c r="K15" i="3"/>
  <c r="AH15" i="3"/>
  <c r="AA15" i="3"/>
  <c r="AI15" i="3"/>
  <c r="Y15" i="3"/>
  <c r="X30" i="3"/>
  <c r="R30" i="11"/>
  <c r="C30" i="10" s="1"/>
  <c r="K24" i="3"/>
  <c r="O24" i="3"/>
  <c r="AI24" i="3"/>
  <c r="AH24" i="3"/>
  <c r="Y24" i="3"/>
  <c r="X24" i="3"/>
  <c r="K9" i="3"/>
  <c r="AI9" i="3"/>
  <c r="Y9" i="3"/>
  <c r="AH9" i="3"/>
  <c r="X9" i="3"/>
  <c r="AA9" i="3"/>
  <c r="Z30" i="3"/>
  <c r="K14" i="3"/>
  <c r="X14" i="3"/>
  <c r="Y14" i="3"/>
  <c r="AH14" i="3"/>
  <c r="AA14" i="3"/>
  <c r="AI14" i="3"/>
  <c r="Z14" i="3"/>
  <c r="K7" i="3"/>
  <c r="AH7" i="3"/>
  <c r="AI7" i="3"/>
  <c r="Y7" i="3"/>
  <c r="AA7" i="3"/>
  <c r="Z6" i="3"/>
  <c r="X15" i="3"/>
  <c r="K23" i="3"/>
  <c r="AA23" i="3"/>
  <c r="Y23" i="3"/>
  <c r="AI23" i="3"/>
  <c r="AH23" i="3"/>
  <c r="X26" i="3"/>
  <c r="K8" i="3"/>
  <c r="AH8" i="3"/>
  <c r="Y8" i="3"/>
  <c r="AI8" i="3"/>
  <c r="AA8" i="3"/>
  <c r="P30" i="12"/>
  <c r="Z30" i="12" s="1"/>
  <c r="P13" i="12"/>
  <c r="Z13" i="12" s="1"/>
  <c r="P26" i="12"/>
  <c r="Z26" i="12" s="1"/>
  <c r="F26" i="12"/>
  <c r="O26" i="12" s="1"/>
  <c r="Y20" i="12"/>
  <c r="Y19" i="12"/>
  <c r="P16" i="12"/>
  <c r="Z16" i="12" s="1"/>
  <c r="P25" i="12"/>
  <c r="Z25" i="12" s="1"/>
  <c r="C24" i="10"/>
  <c r="D24" i="11"/>
  <c r="S24" i="11"/>
  <c r="C8" i="10"/>
  <c r="S8" i="11"/>
  <c r="D8" i="11"/>
  <c r="C14" i="10"/>
  <c r="S14" i="11"/>
  <c r="D14" i="11"/>
  <c r="C15" i="10"/>
  <c r="S15" i="11"/>
  <c r="D15" i="11"/>
  <c r="S20" i="11"/>
  <c r="D20" i="11"/>
  <c r="C20" i="10"/>
  <c r="S18" i="11"/>
  <c r="C18" i="10"/>
  <c r="D18" i="11"/>
  <c r="C22" i="10"/>
  <c r="S22" i="11"/>
  <c r="D22" i="11"/>
  <c r="S28" i="11"/>
  <c r="D28" i="11"/>
  <c r="C28" i="10"/>
  <c r="C7" i="10"/>
  <c r="C26" i="10"/>
  <c r="S26" i="11"/>
  <c r="D26" i="11"/>
  <c r="C21" i="10"/>
  <c r="D21" i="11"/>
  <c r="S21" i="11"/>
  <c r="S13" i="11"/>
  <c r="C13" i="10"/>
  <c r="D13" i="11"/>
  <c r="D5" i="11"/>
  <c r="C5" i="10"/>
  <c r="S5" i="11"/>
  <c r="Z11" i="12"/>
  <c r="C29" i="10"/>
  <c r="S29" i="11"/>
  <c r="D29" i="11"/>
  <c r="C11" i="10"/>
  <c r="S11" i="11"/>
  <c r="D11" i="11"/>
  <c r="S17" i="11"/>
  <c r="D17" i="11"/>
  <c r="C17" i="10"/>
  <c r="S25" i="11"/>
  <c r="C25" i="10"/>
  <c r="D25" i="11"/>
  <c r="D23" i="11"/>
  <c r="C23" i="10"/>
  <c r="S23" i="11"/>
  <c r="P29" i="12"/>
  <c r="Z29" i="12" s="1"/>
  <c r="C6" i="10"/>
  <c r="D6" i="11"/>
  <c r="S6" i="11"/>
  <c r="P10" i="12"/>
  <c r="Z10" i="12" s="1"/>
  <c r="D19" i="11"/>
  <c r="C19" i="10"/>
  <c r="S19" i="11"/>
  <c r="C10" i="10"/>
  <c r="S10" i="11"/>
  <c r="D10" i="11"/>
  <c r="P27" i="12"/>
  <c r="Z27" i="12" s="1"/>
  <c r="S12" i="11"/>
  <c r="D12" i="11"/>
  <c r="C12" i="10"/>
  <c r="S9" i="11"/>
  <c r="D9" i="11"/>
  <c r="C9" i="10"/>
  <c r="C27" i="10"/>
  <c r="S27" i="11"/>
  <c r="D27" i="11"/>
  <c r="C16" i="10"/>
  <c r="D16" i="11"/>
  <c r="S16" i="11"/>
  <c r="E25" i="4"/>
  <c r="AA26" i="4" s="1"/>
  <c r="E24" i="4"/>
  <c r="AB3" i="4" s="1"/>
  <c r="E23" i="4"/>
  <c r="E22" i="4"/>
  <c r="E21" i="4"/>
  <c r="E20" i="4"/>
  <c r="Z27" i="4" s="1"/>
  <c r="E19" i="4"/>
  <c r="Y3" i="4" s="1"/>
  <c r="S7" i="11" l="1"/>
  <c r="O13" i="12"/>
  <c r="S26" i="12"/>
  <c r="O16" i="12"/>
  <c r="S16" i="12"/>
  <c r="S30" i="11"/>
  <c r="D30" i="10" s="1"/>
  <c r="D30" i="11"/>
  <c r="AA24" i="3"/>
  <c r="O3" i="3"/>
  <c r="Z24" i="3"/>
  <c r="Y30" i="12"/>
  <c r="T25" i="11"/>
  <c r="E25" i="11"/>
  <c r="D25" i="10"/>
  <c r="Y26" i="12"/>
  <c r="Y10" i="12"/>
  <c r="Y29" i="12"/>
  <c r="D11" i="10"/>
  <c r="E11" i="11"/>
  <c r="T11" i="11"/>
  <c r="D8" i="10"/>
  <c r="T8" i="11"/>
  <c r="E8" i="11"/>
  <c r="Y25" i="12"/>
  <c r="T9" i="11"/>
  <c r="E9" i="11"/>
  <c r="D9" i="10"/>
  <c r="E23" i="11"/>
  <c r="D23" i="10"/>
  <c r="T23" i="11"/>
  <c r="T30" i="11"/>
  <c r="E30" i="11"/>
  <c r="T28" i="11"/>
  <c r="E28" i="11"/>
  <c r="D28" i="10"/>
  <c r="T18" i="11"/>
  <c r="E18" i="11"/>
  <c r="D18" i="10"/>
  <c r="D27" i="10"/>
  <c r="E27" i="11"/>
  <c r="T27" i="11"/>
  <c r="D6" i="10"/>
  <c r="T6" i="11"/>
  <c r="E6" i="11"/>
  <c r="Y16" i="12"/>
  <c r="D26" i="10"/>
  <c r="E26" i="11"/>
  <c r="T26" i="11"/>
  <c r="T20" i="11"/>
  <c r="E20" i="11"/>
  <c r="D20" i="10"/>
  <c r="T13" i="11"/>
  <c r="E13" i="11"/>
  <c r="D13" i="10"/>
  <c r="D17" i="10"/>
  <c r="T17" i="11"/>
  <c r="E17" i="11"/>
  <c r="D29" i="10"/>
  <c r="T29" i="11"/>
  <c r="E29" i="11"/>
  <c r="D10" i="10"/>
  <c r="E10" i="11"/>
  <c r="T10" i="11"/>
  <c r="T5" i="11"/>
  <c r="E5" i="11"/>
  <c r="D5" i="10"/>
  <c r="D14" i="10"/>
  <c r="T14" i="11"/>
  <c r="E14" i="11"/>
  <c r="T19" i="11"/>
  <c r="E19" i="11"/>
  <c r="D19" i="10"/>
  <c r="T21" i="11"/>
  <c r="E21" i="11"/>
  <c r="D21" i="10"/>
  <c r="T15" i="11"/>
  <c r="D15" i="10"/>
  <c r="E15" i="11"/>
  <c r="D16" i="10"/>
  <c r="T16" i="11"/>
  <c r="E16" i="11"/>
  <c r="T12" i="11"/>
  <c r="E12" i="11"/>
  <c r="D12" i="10"/>
  <c r="Y27" i="12"/>
  <c r="Y11" i="12"/>
  <c r="D7" i="10"/>
  <c r="E7" i="11"/>
  <c r="T7" i="11"/>
  <c r="D22" i="10"/>
  <c r="T22" i="11"/>
  <c r="E22" i="11"/>
  <c r="D24" i="10"/>
  <c r="T24" i="11"/>
  <c r="E24" i="11"/>
  <c r="AB21" i="4"/>
  <c r="AB24" i="4"/>
  <c r="AA8" i="4"/>
  <c r="AA7" i="4"/>
  <c r="AA9" i="4"/>
  <c r="AB5" i="4"/>
  <c r="AA15" i="4"/>
  <c r="AB8" i="4"/>
  <c r="AA16" i="4"/>
  <c r="Y28" i="4"/>
  <c r="Z18" i="4"/>
  <c r="AB6" i="4"/>
  <c r="AB22" i="4"/>
  <c r="Z20" i="4"/>
  <c r="Z8" i="4"/>
  <c r="AB12" i="4"/>
  <c r="AB28" i="4"/>
  <c r="Y20" i="4"/>
  <c r="Z9" i="4"/>
  <c r="Z25" i="4"/>
  <c r="AB13" i="4"/>
  <c r="AB29" i="4"/>
  <c r="AA17" i="4"/>
  <c r="Z17" i="4"/>
  <c r="Y4" i="4"/>
  <c r="Z10" i="4"/>
  <c r="Z26" i="4"/>
  <c r="AB14" i="4"/>
  <c r="AB30" i="4"/>
  <c r="AA23" i="4"/>
  <c r="Z4" i="4"/>
  <c r="Z24" i="4"/>
  <c r="Y5" i="4"/>
  <c r="Z12" i="4"/>
  <c r="Z28" i="4"/>
  <c r="AB16" i="4"/>
  <c r="AA25" i="4"/>
  <c r="Y12" i="4"/>
  <c r="Z16" i="4"/>
  <c r="AB4" i="4"/>
  <c r="AB20" i="4"/>
  <c r="AA3" i="4"/>
  <c r="Y13" i="4"/>
  <c r="Y29" i="4"/>
  <c r="Y22" i="4"/>
  <c r="Y30" i="4"/>
  <c r="Y8" i="4"/>
  <c r="Y24" i="4"/>
  <c r="AA11" i="4"/>
  <c r="AA27" i="4"/>
  <c r="Y9" i="4"/>
  <c r="Y17" i="4"/>
  <c r="Y25" i="4"/>
  <c r="Z5" i="4"/>
  <c r="Z13" i="4"/>
  <c r="Z21" i="4"/>
  <c r="Z29" i="4"/>
  <c r="AB9" i="4"/>
  <c r="AB17" i="4"/>
  <c r="AB25" i="4"/>
  <c r="AA4" i="4"/>
  <c r="AA12" i="4"/>
  <c r="AA20" i="4"/>
  <c r="AA28" i="4"/>
  <c r="Y14" i="4"/>
  <c r="AA19" i="4"/>
  <c r="Y10" i="4"/>
  <c r="Y18" i="4"/>
  <c r="Y26" i="4"/>
  <c r="Z6" i="4"/>
  <c r="Z14" i="4"/>
  <c r="Z22" i="4"/>
  <c r="AC22" i="4" s="1"/>
  <c r="Z30" i="4"/>
  <c r="AB10" i="4"/>
  <c r="AB18" i="4"/>
  <c r="AB26" i="4"/>
  <c r="AA5" i="4"/>
  <c r="AA13" i="4"/>
  <c r="AA21" i="4"/>
  <c r="AA29" i="4"/>
  <c r="Y16" i="4"/>
  <c r="Y11" i="4"/>
  <c r="Y19" i="4"/>
  <c r="Y27" i="4"/>
  <c r="Z7" i="4"/>
  <c r="Z15" i="4"/>
  <c r="Z23" i="4"/>
  <c r="Z3" i="4"/>
  <c r="AB11" i="4"/>
  <c r="AB19" i="4"/>
  <c r="AB27" i="4"/>
  <c r="AA6" i="4"/>
  <c r="AA14" i="4"/>
  <c r="AA22" i="4"/>
  <c r="AA30" i="4"/>
  <c r="Y21" i="4"/>
  <c r="AA24" i="4"/>
  <c r="Y6" i="4"/>
  <c r="Y7" i="4"/>
  <c r="Y15" i="4"/>
  <c r="Y23" i="4"/>
  <c r="Z11" i="4"/>
  <c r="Z19" i="4"/>
  <c r="AB7" i="4"/>
  <c r="AB15" i="4"/>
  <c r="AB23" i="4"/>
  <c r="AA10" i="4"/>
  <c r="AA18" i="4"/>
  <c r="Y13" i="12" l="1"/>
  <c r="AC17" i="4"/>
  <c r="AE17" i="4" s="1"/>
  <c r="AO17" i="4" s="1"/>
  <c r="AM17" i="7" s="1"/>
  <c r="AC3" i="4"/>
  <c r="AC23" i="4"/>
  <c r="AC19" i="4"/>
  <c r="AC14" i="4"/>
  <c r="AF14" i="4" s="1"/>
  <c r="AP14" i="4" s="1"/>
  <c r="AN14" i="7" s="1"/>
  <c r="E10" i="10"/>
  <c r="U10" i="11"/>
  <c r="F10" i="11"/>
  <c r="F17" i="11"/>
  <c r="U17" i="11"/>
  <c r="E17" i="10"/>
  <c r="E30" i="10"/>
  <c r="F30" i="11"/>
  <c r="U30" i="11"/>
  <c r="F9" i="11"/>
  <c r="U9" i="11"/>
  <c r="E9" i="10"/>
  <c r="E24" i="10"/>
  <c r="F24" i="11"/>
  <c r="U24" i="11"/>
  <c r="F19" i="11"/>
  <c r="E19" i="10"/>
  <c r="U19" i="11"/>
  <c r="U27" i="11"/>
  <c r="F27" i="11"/>
  <c r="E27" i="10"/>
  <c r="U12" i="11"/>
  <c r="F12" i="11"/>
  <c r="E12" i="10"/>
  <c r="E21" i="10"/>
  <c r="F21" i="11"/>
  <c r="U21" i="11"/>
  <c r="E14" i="10"/>
  <c r="U14" i="11"/>
  <c r="F14" i="11"/>
  <c r="E16" i="10"/>
  <c r="F16" i="11"/>
  <c r="U16" i="11"/>
  <c r="U20" i="11"/>
  <c r="F20" i="11"/>
  <c r="E20" i="10"/>
  <c r="E8" i="10"/>
  <c r="U8" i="11"/>
  <c r="F8" i="11"/>
  <c r="E7" i="10"/>
  <c r="F7" i="11"/>
  <c r="U7" i="11"/>
  <c r="E23" i="10"/>
  <c r="U23" i="11"/>
  <c r="F23" i="11"/>
  <c r="E15" i="10"/>
  <c r="U15" i="11"/>
  <c r="F15" i="11"/>
  <c r="U29" i="11"/>
  <c r="E29" i="10"/>
  <c r="F29" i="11"/>
  <c r="E6" i="10"/>
  <c r="U6" i="11"/>
  <c r="F6" i="11"/>
  <c r="U28" i="11"/>
  <c r="F28" i="11"/>
  <c r="E28" i="10"/>
  <c r="E11" i="10"/>
  <c r="U11" i="11"/>
  <c r="F11" i="11"/>
  <c r="E22" i="10"/>
  <c r="U22" i="11"/>
  <c r="F22" i="11"/>
  <c r="U13" i="11"/>
  <c r="F13" i="11"/>
  <c r="E13" i="10"/>
  <c r="U18" i="11"/>
  <c r="F18" i="11"/>
  <c r="E18" i="10"/>
  <c r="F5" i="11"/>
  <c r="E5" i="10"/>
  <c r="U5" i="11"/>
  <c r="E26" i="10"/>
  <c r="F26" i="11"/>
  <c r="U26" i="11"/>
  <c r="U25" i="11"/>
  <c r="F25" i="11"/>
  <c r="E25" i="10"/>
  <c r="AC13" i="4"/>
  <c r="AE13" i="4" s="1"/>
  <c r="AO13" i="4" s="1"/>
  <c r="AM13" i="7" s="1"/>
  <c r="AC16" i="4"/>
  <c r="AE16" i="4" s="1"/>
  <c r="AO16" i="4" s="1"/>
  <c r="AM16" i="7" s="1"/>
  <c r="AC21" i="4"/>
  <c r="AE21" i="4" s="1"/>
  <c r="AO21" i="4" s="1"/>
  <c r="AM21" i="7" s="1"/>
  <c r="AC24" i="4"/>
  <c r="AE24" i="4" s="1"/>
  <c r="AO24" i="4" s="1"/>
  <c r="AM24" i="7" s="1"/>
  <c r="AC15" i="4"/>
  <c r="AF15" i="4" s="1"/>
  <c r="AP15" i="4" s="1"/>
  <c r="AN15" i="7" s="1"/>
  <c r="AC11" i="4"/>
  <c r="AF11" i="4" s="1"/>
  <c r="AP11" i="4" s="1"/>
  <c r="AN11" i="7" s="1"/>
  <c r="AC27" i="4"/>
  <c r="AI27" i="4" s="1"/>
  <c r="AC8" i="4"/>
  <c r="AG8" i="4" s="1"/>
  <c r="AT8" i="4" s="1"/>
  <c r="AC7" i="4"/>
  <c r="AI7" i="4" s="1"/>
  <c r="AF19" i="4"/>
  <c r="AP19" i="4" s="1"/>
  <c r="AN19" i="7" s="1"/>
  <c r="AE19" i="4"/>
  <c r="AO19" i="4" s="1"/>
  <c r="AM19" i="7" s="1"/>
  <c r="AE14" i="4"/>
  <c r="AO14" i="4" s="1"/>
  <c r="AM14" i="7" s="1"/>
  <c r="AF17" i="4"/>
  <c r="AP17" i="4" s="1"/>
  <c r="AN17" i="7" s="1"/>
  <c r="AC6" i="4"/>
  <c r="AJ6" i="4" s="1"/>
  <c r="AC5" i="4"/>
  <c r="AH5" i="4" s="1"/>
  <c r="AQ5" i="4" s="1"/>
  <c r="AO5" i="7" s="1"/>
  <c r="AC4" i="4"/>
  <c r="AI4" i="4" s="1"/>
  <c r="AF23" i="4"/>
  <c r="AP23" i="4" s="1"/>
  <c r="AN23" i="7" s="1"/>
  <c r="AE23" i="4"/>
  <c r="AO23" i="4" s="1"/>
  <c r="AM23" i="7" s="1"/>
  <c r="AE3" i="4"/>
  <c r="AO3" i="4" s="1"/>
  <c r="AF3" i="4"/>
  <c r="AP3" i="4" s="1"/>
  <c r="AC25" i="4"/>
  <c r="AF22" i="4"/>
  <c r="AP22" i="4" s="1"/>
  <c r="AN22" i="7" s="1"/>
  <c r="AE22" i="4"/>
  <c r="AO22" i="4" s="1"/>
  <c r="AM22" i="7" s="1"/>
  <c r="AC20" i="4"/>
  <c r="AH20" i="4" s="1"/>
  <c r="AQ20" i="4" s="1"/>
  <c r="AO20" i="7" s="1"/>
  <c r="AC28" i="4"/>
  <c r="AJ28" i="4" s="1"/>
  <c r="AC26" i="4"/>
  <c r="AJ26" i="4" s="1"/>
  <c r="AC9" i="4"/>
  <c r="AG9" i="4" s="1"/>
  <c r="AT9" i="4" s="1"/>
  <c r="AC30" i="4"/>
  <c r="AC29" i="4"/>
  <c r="AC12" i="4"/>
  <c r="AG12" i="4" s="1"/>
  <c r="AT12" i="4" s="1"/>
  <c r="AC10" i="4"/>
  <c r="AH10" i="4" s="1"/>
  <c r="AQ10" i="4" s="1"/>
  <c r="AO10" i="7" s="1"/>
  <c r="AC18" i="4"/>
  <c r="AI18" i="4" s="1"/>
  <c r="AH22" i="4"/>
  <c r="AQ22" i="4" s="1"/>
  <c r="AO22" i="7" s="1"/>
  <c r="AH14" i="4"/>
  <c r="AQ14" i="4" s="1"/>
  <c r="AO14" i="7" s="1"/>
  <c r="AH19" i="4"/>
  <c r="AQ19" i="4" s="1"/>
  <c r="AO19" i="7" s="1"/>
  <c r="AJ21" i="4"/>
  <c r="AJ23" i="4"/>
  <c r="AH11" i="4"/>
  <c r="AQ11" i="4" s="1"/>
  <c r="AO11" i="7" s="1"/>
  <c r="AH23" i="4"/>
  <c r="AQ23" i="4" s="1"/>
  <c r="AO23" i="7" s="1"/>
  <c r="AI23" i="4"/>
  <c r="AI19" i="4"/>
  <c r="AJ22" i="4"/>
  <c r="AG22" i="4"/>
  <c r="AT22" i="4" s="1"/>
  <c r="AJ14" i="4"/>
  <c r="AG14" i="4"/>
  <c r="AT14" i="4" s="1"/>
  <c r="AI11" i="4"/>
  <c r="AG5" i="4"/>
  <c r="AT5" i="4" s="1"/>
  <c r="AI24" i="4"/>
  <c r="AG19" i="4"/>
  <c r="AT19" i="4" s="1"/>
  <c r="AJ30" i="4"/>
  <c r="AG11" i="4" l="1"/>
  <c r="AT11" i="4" s="1"/>
  <c r="AJ11" i="4"/>
  <c r="AF24" i="4"/>
  <c r="AP24" i="4" s="1"/>
  <c r="AN24" i="7" s="1"/>
  <c r="AE11" i="4"/>
  <c r="AO11" i="4" s="1"/>
  <c r="AM11" i="7" s="1"/>
  <c r="AI15" i="4"/>
  <c r="AJ12" i="4"/>
  <c r="AE15" i="4"/>
  <c r="AO15" i="4" s="1"/>
  <c r="AM15" i="7" s="1"/>
  <c r="AJ13" i="4"/>
  <c r="H13" i="3" s="1"/>
  <c r="AI5" i="4"/>
  <c r="AJ7" i="4"/>
  <c r="H7" i="3" s="1"/>
  <c r="AI12" i="4"/>
  <c r="G12" i="3" s="1"/>
  <c r="AG6" i="4"/>
  <c r="AT6" i="4" s="1"/>
  <c r="AG16" i="4"/>
  <c r="AT16" i="4" s="1"/>
  <c r="AF13" i="4"/>
  <c r="AP13" i="4" s="1"/>
  <c r="AN13" i="7" s="1"/>
  <c r="AF21" i="4"/>
  <c r="AP21" i="4" s="1"/>
  <c r="AN21" i="7" s="1"/>
  <c r="F14" i="10"/>
  <c r="V14" i="11"/>
  <c r="G14" i="11"/>
  <c r="F5" i="10"/>
  <c r="G5" i="11"/>
  <c r="V5" i="11"/>
  <c r="V28" i="11"/>
  <c r="G28" i="11"/>
  <c r="F28" i="10"/>
  <c r="F21" i="10"/>
  <c r="V21" i="11"/>
  <c r="G21" i="11"/>
  <c r="V25" i="11"/>
  <c r="G25" i="11"/>
  <c r="F25" i="10"/>
  <c r="V12" i="11"/>
  <c r="G12" i="11"/>
  <c r="F12" i="10"/>
  <c r="F10" i="10"/>
  <c r="V10" i="11"/>
  <c r="G10" i="11"/>
  <c r="G9" i="11"/>
  <c r="V9" i="11"/>
  <c r="F9" i="10"/>
  <c r="F22" i="10"/>
  <c r="G22" i="11"/>
  <c r="V22" i="11"/>
  <c r="F23" i="10"/>
  <c r="V23" i="11"/>
  <c r="G23" i="11"/>
  <c r="V20" i="11"/>
  <c r="G20" i="11"/>
  <c r="F20" i="10"/>
  <c r="F27" i="10"/>
  <c r="V27" i="11"/>
  <c r="G27" i="11"/>
  <c r="F30" i="10"/>
  <c r="V30" i="11"/>
  <c r="G30" i="11"/>
  <c r="V18" i="11"/>
  <c r="G18" i="11"/>
  <c r="F18" i="10"/>
  <c r="F8" i="10"/>
  <c r="G8" i="11"/>
  <c r="V8" i="11"/>
  <c r="V7" i="11"/>
  <c r="G7" i="11"/>
  <c r="F7" i="10"/>
  <c r="V26" i="11"/>
  <c r="G26" i="11"/>
  <c r="F26" i="10"/>
  <c r="V13" i="11"/>
  <c r="G13" i="11"/>
  <c r="F13" i="10"/>
  <c r="F6" i="10"/>
  <c r="V6" i="11"/>
  <c r="G6" i="11"/>
  <c r="F16" i="10"/>
  <c r="V16" i="11"/>
  <c r="G16" i="11"/>
  <c r="F24" i="10"/>
  <c r="G24" i="11"/>
  <c r="V24" i="11"/>
  <c r="F29" i="10"/>
  <c r="V29" i="11"/>
  <c r="G29" i="11"/>
  <c r="F17" i="10"/>
  <c r="V17" i="11"/>
  <c r="G17" i="11"/>
  <c r="V11" i="11"/>
  <c r="F11" i="10"/>
  <c r="G11" i="11"/>
  <c r="V15" i="11"/>
  <c r="G15" i="11"/>
  <c r="F15" i="10"/>
  <c r="F19" i="10"/>
  <c r="V19" i="11"/>
  <c r="G19" i="11"/>
  <c r="AF8" i="4"/>
  <c r="AP8" i="4" s="1"/>
  <c r="AN8" i="7" s="1"/>
  <c r="AI28" i="4"/>
  <c r="AR28" i="4" s="1"/>
  <c r="AP28" i="7" s="1"/>
  <c r="AH27" i="4"/>
  <c r="AQ27" i="4" s="1"/>
  <c r="AO27" i="7" s="1"/>
  <c r="AE27" i="4"/>
  <c r="AO27" i="4" s="1"/>
  <c r="AM27" i="7" s="1"/>
  <c r="AE8" i="4"/>
  <c r="AO8" i="4" s="1"/>
  <c r="AM8" i="7" s="1"/>
  <c r="AJ27" i="4"/>
  <c r="AS27" i="4" s="1"/>
  <c r="AQ27" i="7" s="1"/>
  <c r="AG28" i="4"/>
  <c r="AT28" i="4" s="1"/>
  <c r="AF27" i="4"/>
  <c r="AP27" i="4" s="1"/>
  <c r="AN27" i="7" s="1"/>
  <c r="AH28" i="4"/>
  <c r="AQ28" i="4" s="1"/>
  <c r="AO28" i="7" s="1"/>
  <c r="AG26" i="4"/>
  <c r="AT26" i="4" s="1"/>
  <c r="AE7" i="4"/>
  <c r="AO7" i="4" s="1"/>
  <c r="AM7" i="7" s="1"/>
  <c r="AI20" i="4"/>
  <c r="AJ20" i="4"/>
  <c r="H20" i="3" s="1"/>
  <c r="AF7" i="4"/>
  <c r="AP7" i="4" s="1"/>
  <c r="AN7" i="7" s="1"/>
  <c r="AF16" i="4"/>
  <c r="AP16" i="4" s="1"/>
  <c r="AN16" i="7" s="1"/>
  <c r="G18" i="3"/>
  <c r="AR18" i="4"/>
  <c r="AP18" i="7" s="1"/>
  <c r="H28" i="3"/>
  <c r="W28" i="3" s="1"/>
  <c r="AS28" i="4"/>
  <c r="AQ28" i="7" s="1"/>
  <c r="H6" i="3"/>
  <c r="W6" i="3" s="1"/>
  <c r="AS6" i="4"/>
  <c r="AQ6" i="7" s="1"/>
  <c r="G4" i="3"/>
  <c r="AR4" i="4"/>
  <c r="AP4" i="7" s="1"/>
  <c r="H26" i="3"/>
  <c r="W26" i="3" s="1"/>
  <c r="AS26" i="4"/>
  <c r="AQ26" i="7" s="1"/>
  <c r="G5" i="3"/>
  <c r="AR5" i="4"/>
  <c r="AP5" i="7" s="1"/>
  <c r="G27" i="3"/>
  <c r="AR27" i="4"/>
  <c r="AP27" i="7" s="1"/>
  <c r="AJ9" i="4"/>
  <c r="AG18" i="4"/>
  <c r="AT18" i="4" s="1"/>
  <c r="H22" i="3"/>
  <c r="V22" i="3" s="1"/>
  <c r="AS22" i="4"/>
  <c r="AQ22" i="7" s="1"/>
  <c r="G28" i="3"/>
  <c r="G11" i="3"/>
  <c r="AR11" i="4"/>
  <c r="AP11" i="7" s="1"/>
  <c r="H14" i="3"/>
  <c r="V14" i="3" s="1"/>
  <c r="AS14" i="4"/>
  <c r="AQ14" i="7" s="1"/>
  <c r="G19" i="3"/>
  <c r="AR19" i="4"/>
  <c r="AP19" i="7" s="1"/>
  <c r="AJ18" i="4"/>
  <c r="AH18" i="4"/>
  <c r="AQ18" i="4" s="1"/>
  <c r="AO18" i="7" s="1"/>
  <c r="H30" i="3"/>
  <c r="V30" i="3" s="1"/>
  <c r="AS30" i="4"/>
  <c r="AQ30" i="7" s="1"/>
  <c r="G24" i="3"/>
  <c r="AR24" i="4"/>
  <c r="AP24" i="7" s="1"/>
  <c r="G15" i="3"/>
  <c r="AR15" i="4"/>
  <c r="AP15" i="7" s="1"/>
  <c r="H21" i="3"/>
  <c r="W21" i="3" s="1"/>
  <c r="AS21" i="4"/>
  <c r="AQ21" i="7" s="1"/>
  <c r="G7" i="3"/>
  <c r="AR7" i="4"/>
  <c r="AP7" i="7" s="1"/>
  <c r="H23" i="3"/>
  <c r="V23" i="3" s="1"/>
  <c r="AS23" i="4"/>
  <c r="AQ23" i="7" s="1"/>
  <c r="H12" i="3"/>
  <c r="W12" i="3" s="1"/>
  <c r="AS12" i="4"/>
  <c r="AQ12" i="7" s="1"/>
  <c r="H11" i="3"/>
  <c r="W11" i="3" s="1"/>
  <c r="AS11" i="4"/>
  <c r="AQ11" i="7" s="1"/>
  <c r="G20" i="3"/>
  <c r="AR20" i="4"/>
  <c r="AP20" i="7" s="1"/>
  <c r="G23" i="3"/>
  <c r="I23" i="3" s="1"/>
  <c r="AR23" i="4"/>
  <c r="AP23" i="7" s="1"/>
  <c r="AF30" i="4"/>
  <c r="AP30" i="4" s="1"/>
  <c r="AN30" i="7" s="1"/>
  <c r="AE30" i="4"/>
  <c r="AO30" i="4" s="1"/>
  <c r="AM30" i="7" s="1"/>
  <c r="AF4" i="4"/>
  <c r="AP4" i="4" s="1"/>
  <c r="AN4" i="7" s="1"/>
  <c r="AE4" i="4"/>
  <c r="AE25" i="4"/>
  <c r="AO25" i="4" s="1"/>
  <c r="AM25" i="7" s="1"/>
  <c r="AF25" i="4"/>
  <c r="AP25" i="4" s="1"/>
  <c r="AN25" i="7" s="1"/>
  <c r="AE29" i="4"/>
  <c r="AO29" i="4" s="1"/>
  <c r="AM29" i="7" s="1"/>
  <c r="AF29" i="4"/>
  <c r="AP29" i="4" s="1"/>
  <c r="AN29" i="7" s="1"/>
  <c r="AE9" i="4"/>
  <c r="AO9" i="4" s="1"/>
  <c r="AM9" i="7" s="1"/>
  <c r="AF9" i="4"/>
  <c r="AP9" i="4" s="1"/>
  <c r="AN9" i="7" s="1"/>
  <c r="AE5" i="4"/>
  <c r="AO5" i="4" s="1"/>
  <c r="AM5" i="7" s="1"/>
  <c r="AF5" i="4"/>
  <c r="AP5" i="4" s="1"/>
  <c r="AN5" i="7" s="1"/>
  <c r="AJ5" i="4"/>
  <c r="AJ29" i="4"/>
  <c r="AG20" i="4"/>
  <c r="AT20" i="4" s="1"/>
  <c r="AF18" i="4"/>
  <c r="AP18" i="4" s="1"/>
  <c r="AN18" i="7" s="1"/>
  <c r="AE18" i="4"/>
  <c r="AO18" i="4" s="1"/>
  <c r="AM18" i="7" s="1"/>
  <c r="AF26" i="4"/>
  <c r="AP26" i="4" s="1"/>
  <c r="AN26" i="7" s="1"/>
  <c r="AE26" i="4"/>
  <c r="AO26" i="4" s="1"/>
  <c r="AM26" i="7" s="1"/>
  <c r="AF6" i="4"/>
  <c r="AP6" i="4" s="1"/>
  <c r="AN6" i="7" s="1"/>
  <c r="AE6" i="4"/>
  <c r="AO6" i="4" s="1"/>
  <c r="AM6" i="7" s="1"/>
  <c r="AF10" i="4"/>
  <c r="AP10" i="4" s="1"/>
  <c r="AN10" i="7" s="1"/>
  <c r="AE10" i="4"/>
  <c r="AO10" i="4" s="1"/>
  <c r="AM10" i="7" s="1"/>
  <c r="AF28" i="4"/>
  <c r="AP28" i="4" s="1"/>
  <c r="AN28" i="7" s="1"/>
  <c r="AE28" i="4"/>
  <c r="AO28" i="4" s="1"/>
  <c r="AM28" i="7" s="1"/>
  <c r="AF12" i="4"/>
  <c r="AP12" i="4" s="1"/>
  <c r="AN12" i="7" s="1"/>
  <c r="AE12" i="4"/>
  <c r="AO12" i="4" s="1"/>
  <c r="AM12" i="7" s="1"/>
  <c r="AH12" i="4"/>
  <c r="AQ12" i="4" s="1"/>
  <c r="AO12" i="7" s="1"/>
  <c r="AF20" i="4"/>
  <c r="AP20" i="4" s="1"/>
  <c r="AN20" i="7" s="1"/>
  <c r="AE20" i="4"/>
  <c r="AO20" i="4" s="1"/>
  <c r="AM20" i="7" s="1"/>
  <c r="AG24" i="4"/>
  <c r="AT24" i="4" s="1"/>
  <c r="AI29" i="4"/>
  <c r="AH29" i="4"/>
  <c r="AQ29" i="4" s="1"/>
  <c r="AO29" i="7" s="1"/>
  <c r="AJ10" i="4"/>
  <c r="AI30" i="4"/>
  <c r="AI17" i="4"/>
  <c r="AH17" i="4"/>
  <c r="AQ17" i="4" s="1"/>
  <c r="AO17" i="7" s="1"/>
  <c r="AH30" i="4"/>
  <c r="AQ30" i="4" s="1"/>
  <c r="AO30" i="7" s="1"/>
  <c r="AI22" i="4"/>
  <c r="AH25" i="4"/>
  <c r="AQ25" i="4" s="1"/>
  <c r="AO25" i="7" s="1"/>
  <c r="AI25" i="4"/>
  <c r="AJ25" i="4"/>
  <c r="AG4" i="4"/>
  <c r="AT4" i="4" s="1"/>
  <c r="AH4" i="4"/>
  <c r="AQ4" i="4" s="1"/>
  <c r="AO4" i="7" s="1"/>
  <c r="AJ4" i="4"/>
  <c r="AG15" i="4"/>
  <c r="AT15" i="4" s="1"/>
  <c r="AJ15" i="4"/>
  <c r="AG29" i="4"/>
  <c r="AT29" i="4" s="1"/>
  <c r="AH6" i="4"/>
  <c r="AQ6" i="4" s="1"/>
  <c r="AO6" i="7" s="1"/>
  <c r="AG21" i="4"/>
  <c r="AT21" i="4" s="1"/>
  <c r="AI9" i="4"/>
  <c r="AH9" i="4"/>
  <c r="AQ9" i="4" s="1"/>
  <c r="AO9" i="7" s="1"/>
  <c r="AG7" i="4"/>
  <c r="AT7" i="4" s="1"/>
  <c r="AH7" i="4"/>
  <c r="AQ7" i="4" s="1"/>
  <c r="AO7" i="7" s="1"/>
  <c r="AI6" i="4"/>
  <c r="AJ17" i="4"/>
  <c r="AG25" i="4"/>
  <c r="AT25" i="4" s="1"/>
  <c r="AG27" i="4"/>
  <c r="AT27" i="4" s="1"/>
  <c r="AI21" i="4"/>
  <c r="AG13" i="4"/>
  <c r="AT13" i="4" s="1"/>
  <c r="AI13" i="4"/>
  <c r="AH21" i="4"/>
  <c r="AQ21" i="4" s="1"/>
  <c r="AO21" i="7" s="1"/>
  <c r="AH15" i="4"/>
  <c r="AQ15" i="4" s="1"/>
  <c r="AO15" i="7" s="1"/>
  <c r="AG17" i="4"/>
  <c r="AT17" i="4" s="1"/>
  <c r="AH13" i="4"/>
  <c r="AQ13" i="4" s="1"/>
  <c r="AO13" i="7" s="1"/>
  <c r="AG30" i="4"/>
  <c r="AT30" i="4" s="1"/>
  <c r="AJ19" i="4"/>
  <c r="AI14" i="4"/>
  <c r="AG23" i="4"/>
  <c r="AT23" i="4" s="1"/>
  <c r="AG10" i="4"/>
  <c r="AT10" i="4" s="1"/>
  <c r="AI16" i="4"/>
  <c r="AJ16" i="4"/>
  <c r="AH16" i="4"/>
  <c r="AQ16" i="4" s="1"/>
  <c r="AO16" i="7" s="1"/>
  <c r="AI10" i="4"/>
  <c r="AH24" i="4"/>
  <c r="AQ24" i="4" s="1"/>
  <c r="AO24" i="7" s="1"/>
  <c r="AJ24" i="4"/>
  <c r="AI3" i="4"/>
  <c r="AR3" i="4" s="1"/>
  <c r="AJ3" i="4"/>
  <c r="AS3" i="4" s="1"/>
  <c r="AG3" i="4"/>
  <c r="AT3" i="4" s="1"/>
  <c r="AI26" i="4"/>
  <c r="AH26" i="4"/>
  <c r="AQ26" i="4" s="1"/>
  <c r="AO26" i="7" s="1"/>
  <c r="AH3" i="4"/>
  <c r="AQ3" i="4" s="1"/>
  <c r="AI8" i="4"/>
  <c r="AH8" i="4"/>
  <c r="AQ8" i="4" s="1"/>
  <c r="AO8" i="7" s="1"/>
  <c r="AJ8" i="4"/>
  <c r="S5" i="5"/>
  <c r="AS13" i="4" l="1"/>
  <c r="AQ13" i="7" s="1"/>
  <c r="AO4" i="4"/>
  <c r="AM4" i="7" s="1"/>
  <c r="AM3" i="7" s="1"/>
  <c r="AR12" i="4"/>
  <c r="AP12" i="7" s="1"/>
  <c r="AR12" i="7" s="1"/>
  <c r="AS12" i="7" s="1"/>
  <c r="AR11" i="7"/>
  <c r="AS11" i="7" s="1"/>
  <c r="AS7" i="4"/>
  <c r="AQ7" i="7" s="1"/>
  <c r="AR7" i="7" s="1"/>
  <c r="AS7" i="7" s="1"/>
  <c r="V13" i="3"/>
  <c r="W13" i="3"/>
  <c r="H27" i="3"/>
  <c r="W27" i="3" s="1"/>
  <c r="V26" i="3"/>
  <c r="AO3" i="7"/>
  <c r="AS20" i="4"/>
  <c r="AQ20" i="7" s="1"/>
  <c r="AR27" i="7"/>
  <c r="AD27" i="7" s="1"/>
  <c r="AN3" i="7"/>
  <c r="AF27" i="7"/>
  <c r="AR28" i="7"/>
  <c r="AS28" i="7" s="1"/>
  <c r="AR23" i="7"/>
  <c r="AG23" i="7" s="1"/>
  <c r="G30" i="10"/>
  <c r="H30" i="11"/>
  <c r="W30" i="11"/>
  <c r="W19" i="11"/>
  <c r="G19" i="10"/>
  <c r="H19" i="11"/>
  <c r="W15" i="11"/>
  <c r="H15" i="11"/>
  <c r="G15" i="10"/>
  <c r="G16" i="10"/>
  <c r="W16" i="11"/>
  <c r="H16" i="11"/>
  <c r="G8" i="10"/>
  <c r="W8" i="11"/>
  <c r="H8" i="11"/>
  <c r="W20" i="11"/>
  <c r="H20" i="11"/>
  <c r="G20" i="10"/>
  <c r="H9" i="11"/>
  <c r="W9" i="11"/>
  <c r="G9" i="10"/>
  <c r="W5" i="11"/>
  <c r="H5" i="11"/>
  <c r="G5" i="10"/>
  <c r="W13" i="11"/>
  <c r="H13" i="11"/>
  <c r="G13" i="10"/>
  <c r="H12" i="11"/>
  <c r="W12" i="11"/>
  <c r="G12" i="10"/>
  <c r="S4" i="5"/>
  <c r="AI3" i="7" s="1"/>
  <c r="Q3" i="11" s="1"/>
  <c r="AI4" i="7"/>
  <c r="E4" i="3"/>
  <c r="G24" i="10"/>
  <c r="W24" i="11"/>
  <c r="H24" i="11"/>
  <c r="G27" i="10"/>
  <c r="H27" i="11"/>
  <c r="W27" i="11"/>
  <c r="G23" i="10"/>
  <c r="W23" i="11"/>
  <c r="H23" i="11"/>
  <c r="W28" i="11"/>
  <c r="H28" i="11"/>
  <c r="G28" i="10"/>
  <c r="H11" i="11"/>
  <c r="W11" i="11"/>
  <c r="G11" i="10"/>
  <c r="G14" i="10"/>
  <c r="H14" i="11"/>
  <c r="W14" i="11"/>
  <c r="G17" i="10"/>
  <c r="W17" i="11"/>
  <c r="H17" i="11"/>
  <c r="G10" i="10"/>
  <c r="W10" i="11"/>
  <c r="H10" i="11"/>
  <c r="W26" i="11"/>
  <c r="G26" i="10"/>
  <c r="H26" i="11"/>
  <c r="G22" i="10"/>
  <c r="W22" i="11"/>
  <c r="H22" i="11"/>
  <c r="H25" i="11"/>
  <c r="G25" i="10"/>
  <c r="W25" i="11"/>
  <c r="G21" i="10"/>
  <c r="W21" i="11"/>
  <c r="H21" i="11"/>
  <c r="G7" i="10"/>
  <c r="H7" i="11"/>
  <c r="W7" i="11"/>
  <c r="G6" i="10"/>
  <c r="W6" i="11"/>
  <c r="H6" i="11"/>
  <c r="W18" i="11"/>
  <c r="H18" i="11"/>
  <c r="G18" i="10"/>
  <c r="H29" i="11"/>
  <c r="G29" i="10"/>
  <c r="W29" i="11"/>
  <c r="W14" i="3"/>
  <c r="T23" i="3"/>
  <c r="U11" i="3"/>
  <c r="U23" i="3"/>
  <c r="U20" i="3"/>
  <c r="T7" i="3"/>
  <c r="U7" i="3"/>
  <c r="W22" i="3"/>
  <c r="V12" i="3"/>
  <c r="V28" i="3"/>
  <c r="I12" i="3"/>
  <c r="W23" i="3"/>
  <c r="U12" i="3"/>
  <c r="T12" i="3"/>
  <c r="W7" i="3"/>
  <c r="V21" i="3"/>
  <c r="U28" i="3"/>
  <c r="I7" i="3"/>
  <c r="V7" i="3"/>
  <c r="I11" i="3"/>
  <c r="H4" i="3"/>
  <c r="I4" i="3" s="1"/>
  <c r="AS4" i="4"/>
  <c r="AQ4" i="7" s="1"/>
  <c r="H10" i="3"/>
  <c r="AS10" i="4"/>
  <c r="AQ10" i="7" s="1"/>
  <c r="H29" i="3"/>
  <c r="V29" i="3" s="1"/>
  <c r="AS29" i="4"/>
  <c r="AQ29" i="7" s="1"/>
  <c r="H8" i="3"/>
  <c r="V8" i="3" s="1"/>
  <c r="AS8" i="4"/>
  <c r="AQ8" i="7" s="1"/>
  <c r="T11" i="3"/>
  <c r="H24" i="3"/>
  <c r="U24" i="3" s="1"/>
  <c r="AS24" i="4"/>
  <c r="AQ24" i="7" s="1"/>
  <c r="H5" i="3"/>
  <c r="U5" i="3" s="1"/>
  <c r="AS5" i="4"/>
  <c r="AQ5" i="7" s="1"/>
  <c r="G9" i="3"/>
  <c r="AR9" i="4"/>
  <c r="AP9" i="7" s="1"/>
  <c r="V11" i="3"/>
  <c r="G14" i="3"/>
  <c r="U14" i="3" s="1"/>
  <c r="AR14" i="4"/>
  <c r="AP14" i="7" s="1"/>
  <c r="H15" i="3"/>
  <c r="T15" i="3" s="1"/>
  <c r="AS15" i="4"/>
  <c r="AQ15" i="7" s="1"/>
  <c r="G25" i="3"/>
  <c r="AR25" i="4"/>
  <c r="AP25" i="7" s="1"/>
  <c r="G30" i="3"/>
  <c r="U30" i="3" s="1"/>
  <c r="AR30" i="4"/>
  <c r="AP30" i="7" s="1"/>
  <c r="W30" i="3"/>
  <c r="H17" i="3"/>
  <c r="V17" i="3" s="1"/>
  <c r="AS17" i="4"/>
  <c r="AQ17" i="7" s="1"/>
  <c r="G29" i="3"/>
  <c r="AR29" i="4"/>
  <c r="AP29" i="7" s="1"/>
  <c r="G26" i="3"/>
  <c r="U26" i="3" s="1"/>
  <c r="AR26" i="4"/>
  <c r="AP26" i="7" s="1"/>
  <c r="G13" i="3"/>
  <c r="I13" i="3" s="1"/>
  <c r="AR13" i="4"/>
  <c r="AP13" i="7" s="1"/>
  <c r="AR13" i="7" s="1"/>
  <c r="H18" i="3"/>
  <c r="AS18" i="4"/>
  <c r="AQ18" i="7" s="1"/>
  <c r="H16" i="3"/>
  <c r="W16" i="3" s="1"/>
  <c r="AS16" i="4"/>
  <c r="AQ16" i="7" s="1"/>
  <c r="H19" i="3"/>
  <c r="U19" i="3" s="1"/>
  <c r="AS19" i="4"/>
  <c r="AQ19" i="7" s="1"/>
  <c r="G21" i="3"/>
  <c r="U21" i="3" s="1"/>
  <c r="AR21" i="4"/>
  <c r="AP21" i="7" s="1"/>
  <c r="AR21" i="7" s="1"/>
  <c r="I28" i="3"/>
  <c r="T20" i="3"/>
  <c r="G10" i="3"/>
  <c r="AR10" i="4"/>
  <c r="AP10" i="7" s="1"/>
  <c r="G16" i="3"/>
  <c r="AR16" i="4"/>
  <c r="AP16" i="7" s="1"/>
  <c r="V20" i="3"/>
  <c r="G6" i="3"/>
  <c r="I6" i="3" s="1"/>
  <c r="AR6" i="4"/>
  <c r="AP6" i="7" s="1"/>
  <c r="AR6" i="7" s="1"/>
  <c r="AS6" i="7" s="1"/>
  <c r="V6" i="3"/>
  <c r="G22" i="3"/>
  <c r="T22" i="3" s="1"/>
  <c r="AR22" i="4"/>
  <c r="AP22" i="7" s="1"/>
  <c r="T28" i="3"/>
  <c r="I20" i="3"/>
  <c r="G8" i="3"/>
  <c r="AR8" i="4"/>
  <c r="AP8" i="7" s="1"/>
  <c r="H25" i="3"/>
  <c r="W25" i="3" s="1"/>
  <c r="AS25" i="4"/>
  <c r="AQ25" i="7" s="1"/>
  <c r="G17" i="3"/>
  <c r="AR17" i="4"/>
  <c r="AP17" i="7" s="1"/>
  <c r="W20" i="3"/>
  <c r="H9" i="3"/>
  <c r="AS9" i="4"/>
  <c r="AQ9" i="7" s="1"/>
  <c r="AR29" i="7" l="1"/>
  <c r="AD12" i="7"/>
  <c r="AE12" i="7"/>
  <c r="AG11" i="7"/>
  <c r="AH12" i="7"/>
  <c r="AR9" i="7"/>
  <c r="AF11" i="7"/>
  <c r="AD7" i="7"/>
  <c r="AH11" i="7"/>
  <c r="AF7" i="7"/>
  <c r="AG28" i="7"/>
  <c r="AH7" i="7"/>
  <c r="AG7" i="7"/>
  <c r="AD11" i="7"/>
  <c r="AH27" i="7"/>
  <c r="AE11" i="7"/>
  <c r="AE7" i="7"/>
  <c r="U27" i="3"/>
  <c r="AH23" i="7"/>
  <c r="T27" i="3"/>
  <c r="V27" i="3"/>
  <c r="AD28" i="7"/>
  <c r="I27" i="3"/>
  <c r="AG12" i="7"/>
  <c r="AH28" i="7"/>
  <c r="AS27" i="7"/>
  <c r="AS13" i="7"/>
  <c r="AD13" i="7"/>
  <c r="AE13" i="7"/>
  <c r="AH13" i="7"/>
  <c r="AF13" i="7"/>
  <c r="AS21" i="7"/>
  <c r="AD21" i="7"/>
  <c r="AE21" i="7"/>
  <c r="AH21" i="7"/>
  <c r="AF21" i="7"/>
  <c r="AS9" i="7"/>
  <c r="AF9" i="7"/>
  <c r="AD9" i="7"/>
  <c r="AE9" i="7"/>
  <c r="AS29" i="7"/>
  <c r="AE29" i="7"/>
  <c r="AD29" i="7"/>
  <c r="AF29" i="7"/>
  <c r="AR16" i="7"/>
  <c r="AG16" i="7" s="1"/>
  <c r="AG6" i="7"/>
  <c r="AR14" i="7"/>
  <c r="AG14" i="7" s="1"/>
  <c r="AQ3" i="7"/>
  <c r="AF6" i="7"/>
  <c r="AF12" i="7"/>
  <c r="AG27" i="7"/>
  <c r="AG21" i="7"/>
  <c r="AG13" i="7"/>
  <c r="AS23" i="7"/>
  <c r="AD23" i="7"/>
  <c r="AE23" i="7"/>
  <c r="AF23" i="7"/>
  <c r="AR17" i="7"/>
  <c r="AG17" i="7" s="1"/>
  <c r="AH6" i="7"/>
  <c r="AE27" i="7"/>
  <c r="AE28" i="7"/>
  <c r="AH9" i="7"/>
  <c r="AR19" i="7"/>
  <c r="AH19" i="7" s="1"/>
  <c r="AG9" i="7"/>
  <c r="AR5" i="7"/>
  <c r="AH5" i="7" s="1"/>
  <c r="AR8" i="7"/>
  <c r="AG8" i="7" s="1"/>
  <c r="AH29" i="7"/>
  <c r="AF28" i="7"/>
  <c r="AR18" i="7"/>
  <c r="AR30" i="7"/>
  <c r="AG30" i="7" s="1"/>
  <c r="AD6" i="7"/>
  <c r="AR4" i="7"/>
  <c r="AS4" i="7" s="1"/>
  <c r="AR25" i="7"/>
  <c r="AG25" i="7" s="1"/>
  <c r="AR22" i="7"/>
  <c r="AG22" i="7" s="1"/>
  <c r="AG29" i="7"/>
  <c r="AR26" i="7"/>
  <c r="AS26" i="7" s="1"/>
  <c r="AR20" i="7"/>
  <c r="AR10" i="7"/>
  <c r="AG10" i="7" s="1"/>
  <c r="AR15" i="7"/>
  <c r="AE6" i="7"/>
  <c r="AP3" i="7"/>
  <c r="AR24" i="7"/>
  <c r="X27" i="11"/>
  <c r="I27" i="11"/>
  <c r="H27" i="10"/>
  <c r="X12" i="11"/>
  <c r="I12" i="11"/>
  <c r="H12" i="10"/>
  <c r="H18" i="10"/>
  <c r="X18" i="11"/>
  <c r="I18" i="11"/>
  <c r="I25" i="11"/>
  <c r="H25" i="10"/>
  <c r="X25" i="11"/>
  <c r="H8" i="10"/>
  <c r="X8" i="11"/>
  <c r="I8" i="11"/>
  <c r="H17" i="10"/>
  <c r="X17" i="11"/>
  <c r="I17" i="11"/>
  <c r="X28" i="11"/>
  <c r="I28" i="11"/>
  <c r="H28" i="10"/>
  <c r="K4" i="3"/>
  <c r="AA4" i="3"/>
  <c r="AA3" i="3" s="1"/>
  <c r="E3" i="3"/>
  <c r="K3" i="3" s="1"/>
  <c r="Y4" i="3"/>
  <c r="Y3" i="3" s="1"/>
  <c r="X4" i="3"/>
  <c r="X3" i="3" s="1"/>
  <c r="Z4" i="3"/>
  <c r="Z3" i="3" s="1"/>
  <c r="AH4" i="3"/>
  <c r="AI4" i="3"/>
  <c r="I15" i="11"/>
  <c r="H15" i="10"/>
  <c r="X15" i="11"/>
  <c r="X26" i="11"/>
  <c r="I26" i="11"/>
  <c r="H26" i="10"/>
  <c r="Q4" i="11"/>
  <c r="H14" i="10"/>
  <c r="X14" i="11"/>
  <c r="I14" i="11"/>
  <c r="H11" i="10"/>
  <c r="X11" i="11"/>
  <c r="I11" i="11"/>
  <c r="R3" i="11"/>
  <c r="S3" i="11" s="1"/>
  <c r="T3" i="11" s="1"/>
  <c r="U3" i="11" s="1"/>
  <c r="V3" i="11" s="1"/>
  <c r="W3" i="11" s="1"/>
  <c r="X3" i="11" s="1"/>
  <c r="Y3" i="11" s="1"/>
  <c r="Z3" i="11" s="1"/>
  <c r="AA3" i="11" s="1"/>
  <c r="AB3" i="11" s="1"/>
  <c r="C3" i="11"/>
  <c r="H16" i="10"/>
  <c r="X16" i="11"/>
  <c r="I16" i="11"/>
  <c r="I7" i="11"/>
  <c r="H7" i="10"/>
  <c r="X7" i="11"/>
  <c r="I9" i="11"/>
  <c r="X9" i="11"/>
  <c r="H9" i="10"/>
  <c r="I19" i="11"/>
  <c r="H19" i="10"/>
  <c r="X19" i="11"/>
  <c r="H6" i="10"/>
  <c r="X6" i="11"/>
  <c r="I6" i="11"/>
  <c r="H13" i="10"/>
  <c r="I13" i="11"/>
  <c r="X13" i="11"/>
  <c r="H29" i="10"/>
  <c r="X29" i="11"/>
  <c r="I29" i="11"/>
  <c r="H23" i="10"/>
  <c r="X23" i="11"/>
  <c r="I23" i="11"/>
  <c r="H24" i="10"/>
  <c r="X24" i="11"/>
  <c r="I24" i="11"/>
  <c r="H30" i="10"/>
  <c r="X30" i="11"/>
  <c r="I30" i="11"/>
  <c r="I21" i="11"/>
  <c r="H21" i="10"/>
  <c r="X21" i="11"/>
  <c r="H22" i="10"/>
  <c r="X22" i="11"/>
  <c r="I22" i="11"/>
  <c r="H10" i="10"/>
  <c r="X10" i="11"/>
  <c r="I10" i="11"/>
  <c r="I5" i="11"/>
  <c r="H5" i="10"/>
  <c r="X5" i="11"/>
  <c r="X20" i="11"/>
  <c r="I20" i="11"/>
  <c r="H20" i="10"/>
  <c r="T30" i="3"/>
  <c r="T13" i="3"/>
  <c r="I26" i="3"/>
  <c r="I14" i="3"/>
  <c r="T14" i="3"/>
  <c r="U10" i="3"/>
  <c r="W4" i="3"/>
  <c r="I15" i="3"/>
  <c r="V10" i="3"/>
  <c r="W10" i="3"/>
  <c r="I10" i="3"/>
  <c r="I30" i="3"/>
  <c r="I22" i="3"/>
  <c r="W5" i="3"/>
  <c r="T5" i="3"/>
  <c r="T10" i="3"/>
  <c r="I24" i="3"/>
  <c r="V24" i="3"/>
  <c r="W8" i="3"/>
  <c r="U25" i="3"/>
  <c r="T6" i="3"/>
  <c r="U4" i="3"/>
  <c r="I17" i="3"/>
  <c r="V4" i="3"/>
  <c r="U6" i="3"/>
  <c r="T4" i="3"/>
  <c r="T8" i="3"/>
  <c r="T17" i="3"/>
  <c r="U22" i="3"/>
  <c r="T24" i="3"/>
  <c r="U17" i="3"/>
  <c r="I5" i="3"/>
  <c r="W17" i="3"/>
  <c r="W15" i="3"/>
  <c r="I8" i="3"/>
  <c r="V16" i="3"/>
  <c r="U15" i="3"/>
  <c r="V15" i="3"/>
  <c r="W24" i="3"/>
  <c r="U16" i="3"/>
  <c r="U9" i="3"/>
  <c r="V5" i="3"/>
  <c r="V19" i="3"/>
  <c r="T26" i="3"/>
  <c r="U8" i="3"/>
  <c r="W19" i="3"/>
  <c r="U13" i="3"/>
  <c r="V9" i="3"/>
  <c r="W9" i="3"/>
  <c r="G3" i="3"/>
  <c r="I29" i="3"/>
  <c r="I16" i="3"/>
  <c r="I25" i="3"/>
  <c r="I19" i="3"/>
  <c r="I9" i="3"/>
  <c r="T29" i="3"/>
  <c r="T16" i="3"/>
  <c r="I21" i="3"/>
  <c r="T9" i="3"/>
  <c r="U29" i="3"/>
  <c r="H3" i="3"/>
  <c r="T21" i="3"/>
  <c r="W29" i="3"/>
  <c r="I18" i="3"/>
  <c r="T18" i="3"/>
  <c r="V18" i="3"/>
  <c r="W18" i="3"/>
  <c r="U18" i="3"/>
  <c r="T19" i="3"/>
  <c r="AH16" i="7" l="1"/>
  <c r="AH4" i="7"/>
  <c r="AS16" i="7"/>
  <c r="AH17" i="7"/>
  <c r="P11" i="7"/>
  <c r="AR3" i="7"/>
  <c r="AS3" i="7" s="1"/>
  <c r="AD4" i="7"/>
  <c r="AE4" i="7"/>
  <c r="P12" i="7"/>
  <c r="AG4" i="7"/>
  <c r="P7" i="7"/>
  <c r="G8" i="14" s="1"/>
  <c r="P23" i="7"/>
  <c r="AH25" i="7"/>
  <c r="P9" i="7"/>
  <c r="P27" i="7"/>
  <c r="G28" i="14" s="1"/>
  <c r="P29" i="7"/>
  <c r="B29" i="7" s="1"/>
  <c r="P21" i="7"/>
  <c r="Q12" i="7"/>
  <c r="AS18" i="7"/>
  <c r="AD18" i="7"/>
  <c r="AE18" i="7"/>
  <c r="AG18" i="7"/>
  <c r="AF18" i="7"/>
  <c r="B21" i="7"/>
  <c r="AS15" i="7"/>
  <c r="AE15" i="7"/>
  <c r="AD15" i="7"/>
  <c r="AG15" i="7"/>
  <c r="AF15" i="7"/>
  <c r="AH10" i="7"/>
  <c r="AH18" i="7"/>
  <c r="AS22" i="7"/>
  <c r="AD22" i="7"/>
  <c r="AF22" i="7"/>
  <c r="AE22" i="7"/>
  <c r="AH22" i="7"/>
  <c r="AS20" i="7"/>
  <c r="AF20" i="7"/>
  <c r="AG20" i="7"/>
  <c r="AE20" i="7"/>
  <c r="AD20" i="7"/>
  <c r="AS25" i="7"/>
  <c r="AE25" i="7"/>
  <c r="AF25" i="7"/>
  <c r="AD25" i="7"/>
  <c r="AS8" i="7"/>
  <c r="AD8" i="7"/>
  <c r="AE8" i="7"/>
  <c r="AF8" i="7"/>
  <c r="P28" i="7"/>
  <c r="G29" i="14" s="1"/>
  <c r="AS14" i="7"/>
  <c r="AE14" i="7"/>
  <c r="AD14" i="7"/>
  <c r="AF14" i="7"/>
  <c r="AH14" i="7"/>
  <c r="AD16" i="7"/>
  <c r="AE16" i="7"/>
  <c r="AF16" i="7"/>
  <c r="AS19" i="7"/>
  <c r="AE19" i="7"/>
  <c r="AF19" i="7"/>
  <c r="AD19" i="7"/>
  <c r="AG19" i="7"/>
  <c r="AS24" i="7"/>
  <c r="AE24" i="7"/>
  <c r="AD24" i="7"/>
  <c r="AG24" i="7"/>
  <c r="AF24" i="7"/>
  <c r="AS5" i="7"/>
  <c r="AF5" i="7"/>
  <c r="AE5" i="7"/>
  <c r="AG5" i="7"/>
  <c r="AD5" i="7"/>
  <c r="AH20" i="7"/>
  <c r="P13" i="7"/>
  <c r="G14" i="14" s="1"/>
  <c r="AE26" i="7"/>
  <c r="AH26" i="7"/>
  <c r="AD26" i="7"/>
  <c r="AF26" i="7"/>
  <c r="AS17" i="7"/>
  <c r="AD17" i="7"/>
  <c r="AE17" i="7"/>
  <c r="AF17" i="7"/>
  <c r="AF4" i="7"/>
  <c r="AH8" i="7"/>
  <c r="AS10" i="7"/>
  <c r="AF10" i="7"/>
  <c r="AD10" i="7"/>
  <c r="AE10" i="7"/>
  <c r="P6" i="7"/>
  <c r="G7" i="14" s="1"/>
  <c r="AH15" i="7"/>
  <c r="AS30" i="7"/>
  <c r="AD30" i="7"/>
  <c r="AH30" i="7"/>
  <c r="AF30" i="7"/>
  <c r="AE30" i="7"/>
  <c r="AG26" i="7"/>
  <c r="AH24" i="7"/>
  <c r="J21" i="11"/>
  <c r="Y21" i="11"/>
  <c r="I21" i="10"/>
  <c r="R4" i="11"/>
  <c r="C4" i="11"/>
  <c r="P5" i="12" s="1"/>
  <c r="Z5" i="12" s="1"/>
  <c r="B4" i="10"/>
  <c r="Y23" i="11"/>
  <c r="J23" i="11"/>
  <c r="I23" i="10"/>
  <c r="I22" i="10"/>
  <c r="J22" i="11"/>
  <c r="Y22" i="11"/>
  <c r="I30" i="10"/>
  <c r="Y30" i="11"/>
  <c r="J30" i="11"/>
  <c r="Y28" i="11"/>
  <c r="J28" i="11"/>
  <c r="I28" i="10"/>
  <c r="I11" i="10"/>
  <c r="J11" i="11"/>
  <c r="Y11" i="11"/>
  <c r="Y12" i="11"/>
  <c r="J12" i="11"/>
  <c r="I12" i="10"/>
  <c r="Y15" i="11"/>
  <c r="J15" i="11"/>
  <c r="I15" i="10"/>
  <c r="I8" i="10"/>
  <c r="J8" i="11"/>
  <c r="Y8" i="11"/>
  <c r="I6" i="10"/>
  <c r="J6" i="11"/>
  <c r="Y6" i="11"/>
  <c r="I10" i="10"/>
  <c r="J10" i="11"/>
  <c r="Y10" i="11"/>
  <c r="I29" i="10"/>
  <c r="Y29" i="11"/>
  <c r="J29" i="11"/>
  <c r="I26" i="10"/>
  <c r="J26" i="11"/>
  <c r="Y26" i="11"/>
  <c r="J17" i="11"/>
  <c r="Y17" i="11"/>
  <c r="I17" i="10"/>
  <c r="I18" i="10"/>
  <c r="J18" i="11"/>
  <c r="Y18" i="11"/>
  <c r="Y9" i="11"/>
  <c r="J9" i="11"/>
  <c r="I9" i="10"/>
  <c r="Y20" i="11"/>
  <c r="J20" i="11"/>
  <c r="I20" i="10"/>
  <c r="Y25" i="11"/>
  <c r="J25" i="11"/>
  <c r="I25" i="10"/>
  <c r="I24" i="10"/>
  <c r="Y24" i="11"/>
  <c r="J24" i="11"/>
  <c r="Y5" i="11"/>
  <c r="J5" i="11"/>
  <c r="I5" i="10"/>
  <c r="Y13" i="11"/>
  <c r="J13" i="11"/>
  <c r="I13" i="10"/>
  <c r="J19" i="11"/>
  <c r="I19" i="10"/>
  <c r="Y19" i="11"/>
  <c r="I7" i="10"/>
  <c r="J7" i="11"/>
  <c r="Y7" i="11"/>
  <c r="I16" i="10"/>
  <c r="Y16" i="11"/>
  <c r="J16" i="11"/>
  <c r="I14" i="10"/>
  <c r="Y14" i="11"/>
  <c r="J14" i="11"/>
  <c r="Y27" i="11"/>
  <c r="J27" i="11"/>
  <c r="I27" i="10"/>
  <c r="W3" i="3"/>
  <c r="U3" i="3"/>
  <c r="T3" i="3"/>
  <c r="I3" i="3"/>
  <c r="V3" i="3"/>
  <c r="S5" i="12" l="1"/>
  <c r="Q9" i="7"/>
  <c r="G10" i="14"/>
  <c r="Q11" i="7"/>
  <c r="G12" i="14"/>
  <c r="B27" i="7"/>
  <c r="Q27" i="7"/>
  <c r="R27" i="7" s="1"/>
  <c r="Q21" i="7"/>
  <c r="R21" i="7" s="1"/>
  <c r="G22" i="14"/>
  <c r="B12" i="7"/>
  <c r="G13" i="14"/>
  <c r="Q23" i="7"/>
  <c r="G24" i="14"/>
  <c r="Q29" i="7"/>
  <c r="C29" i="7" s="1"/>
  <c r="G30" i="14"/>
  <c r="B11" i="7"/>
  <c r="P4" i="7"/>
  <c r="B23" i="7"/>
  <c r="P30" i="7"/>
  <c r="G31" i="14" s="1"/>
  <c r="B9" i="7"/>
  <c r="AH3" i="7"/>
  <c r="B7" i="7"/>
  <c r="Q7" i="7"/>
  <c r="AD3" i="7"/>
  <c r="AG3" i="7"/>
  <c r="P25" i="7"/>
  <c r="P22" i="7"/>
  <c r="P10" i="7"/>
  <c r="G11" i="14" s="1"/>
  <c r="C11" i="7"/>
  <c r="R11" i="7"/>
  <c r="P5" i="7"/>
  <c r="G6" i="14" s="1"/>
  <c r="P24" i="7"/>
  <c r="G25" i="14" s="1"/>
  <c r="C21" i="7"/>
  <c r="AF3" i="7"/>
  <c r="P26" i="7"/>
  <c r="G27" i="14" s="1"/>
  <c r="P19" i="7"/>
  <c r="G20" i="14" s="1"/>
  <c r="P14" i="7"/>
  <c r="G15" i="14" s="1"/>
  <c r="P18" i="7"/>
  <c r="G19" i="14" s="1"/>
  <c r="P17" i="7"/>
  <c r="G18" i="14" s="1"/>
  <c r="B28" i="7"/>
  <c r="Q28" i="7"/>
  <c r="C23" i="7"/>
  <c r="R23" i="7"/>
  <c r="P16" i="7"/>
  <c r="G17" i="14" s="1"/>
  <c r="P15" i="7"/>
  <c r="G16" i="14" s="1"/>
  <c r="R29" i="7"/>
  <c r="Q6" i="7"/>
  <c r="B6" i="7"/>
  <c r="P8" i="7"/>
  <c r="G9" i="14" s="1"/>
  <c r="P20" i="7"/>
  <c r="G21" i="14" s="1"/>
  <c r="B13" i="7"/>
  <c r="Q13" i="7"/>
  <c r="AE3" i="7"/>
  <c r="C9" i="7"/>
  <c r="R9" i="7"/>
  <c r="R12" i="7"/>
  <c r="C12" i="7"/>
  <c r="S4" i="11"/>
  <c r="D4" i="11"/>
  <c r="C4" i="10"/>
  <c r="J18" i="10"/>
  <c r="Z18" i="11"/>
  <c r="K18" i="11"/>
  <c r="J22" i="10"/>
  <c r="Z22" i="11"/>
  <c r="K22" i="11"/>
  <c r="J14" i="10"/>
  <c r="Z14" i="11"/>
  <c r="K14" i="11"/>
  <c r="K11" i="11"/>
  <c r="Z11" i="11"/>
  <c r="J11" i="10"/>
  <c r="Z20" i="11"/>
  <c r="K20" i="11"/>
  <c r="J20" i="10"/>
  <c r="Z29" i="11"/>
  <c r="J29" i="10"/>
  <c r="K29" i="11"/>
  <c r="K19" i="11"/>
  <c r="J19" i="10"/>
  <c r="Z19" i="11"/>
  <c r="J8" i="10"/>
  <c r="K8" i="11"/>
  <c r="Z8" i="11"/>
  <c r="J24" i="10"/>
  <c r="Z24" i="11"/>
  <c r="K24" i="11"/>
  <c r="J25" i="10"/>
  <c r="Z25" i="11"/>
  <c r="K25" i="11"/>
  <c r="Z9" i="11"/>
  <c r="K9" i="11"/>
  <c r="J9" i="10"/>
  <c r="Z7" i="11"/>
  <c r="K7" i="11"/>
  <c r="J7" i="10"/>
  <c r="Y5" i="12"/>
  <c r="B3" i="10"/>
  <c r="K27" i="11"/>
  <c r="J27" i="10"/>
  <c r="Z27" i="11"/>
  <c r="J16" i="10"/>
  <c r="Z16" i="11"/>
  <c r="K16" i="11"/>
  <c r="Z12" i="11"/>
  <c r="K12" i="11"/>
  <c r="J12" i="10"/>
  <c r="J30" i="10"/>
  <c r="K30" i="11"/>
  <c r="Z30" i="11"/>
  <c r="J21" i="10"/>
  <c r="K21" i="11"/>
  <c r="Z21" i="11"/>
  <c r="Z13" i="11"/>
  <c r="K13" i="11"/>
  <c r="J13" i="10"/>
  <c r="J17" i="10"/>
  <c r="Z17" i="11"/>
  <c r="K17" i="11"/>
  <c r="Z28" i="11"/>
  <c r="K28" i="11"/>
  <c r="J28" i="10"/>
  <c r="Z15" i="11"/>
  <c r="J15" i="10"/>
  <c r="K15" i="11"/>
  <c r="J26" i="10"/>
  <c r="Z26" i="11"/>
  <c r="K26" i="11"/>
  <c r="Z5" i="11"/>
  <c r="K5" i="11"/>
  <c r="J5" i="10"/>
  <c r="J10" i="10"/>
  <c r="K10" i="11"/>
  <c r="Z10" i="11"/>
  <c r="J6" i="10"/>
  <c r="Z6" i="11"/>
  <c r="K6" i="11"/>
  <c r="K23" i="11"/>
  <c r="J23" i="10"/>
  <c r="Z23" i="11"/>
  <c r="C27" i="7" l="1"/>
  <c r="B4" i="7"/>
  <c r="G5" i="14"/>
  <c r="B30" i="7"/>
  <c r="Q30" i="7"/>
  <c r="C30" i="7" s="1"/>
  <c r="B22" i="7"/>
  <c r="G23" i="14"/>
  <c r="B25" i="7"/>
  <c r="G26" i="14"/>
  <c r="Q4" i="7"/>
  <c r="R4" i="7" s="1"/>
  <c r="Q22" i="7"/>
  <c r="C22" i="7" s="1"/>
  <c r="Q25" i="7"/>
  <c r="C25" i="7" s="1"/>
  <c r="C7" i="7"/>
  <c r="R7" i="7"/>
  <c r="P3" i="7"/>
  <c r="Q15" i="7"/>
  <c r="B15" i="7"/>
  <c r="S9" i="7"/>
  <c r="D9" i="7"/>
  <c r="D21" i="7"/>
  <c r="S21" i="7"/>
  <c r="D23" i="7"/>
  <c r="S23" i="7"/>
  <c r="Q17" i="7"/>
  <c r="B17" i="7"/>
  <c r="B24" i="7"/>
  <c r="Q24" i="7"/>
  <c r="B16" i="7"/>
  <c r="Q16" i="7"/>
  <c r="C6" i="7"/>
  <c r="R6" i="7"/>
  <c r="B18" i="7"/>
  <c r="Q18" i="7"/>
  <c r="Q5" i="7"/>
  <c r="B5" i="7"/>
  <c r="R13" i="7"/>
  <c r="C13" i="7"/>
  <c r="Q14" i="7"/>
  <c r="B14" i="7"/>
  <c r="S11" i="7"/>
  <c r="D11" i="7"/>
  <c r="S12" i="7"/>
  <c r="D12" i="7"/>
  <c r="R30" i="7"/>
  <c r="D27" i="7"/>
  <c r="S27" i="7"/>
  <c r="S29" i="7"/>
  <c r="D29" i="7"/>
  <c r="B19" i="7"/>
  <c r="Q19" i="7"/>
  <c r="B20" i="7"/>
  <c r="Q20" i="7"/>
  <c r="R28" i="7"/>
  <c r="C28" i="7"/>
  <c r="Q26" i="7"/>
  <c r="B26" i="7"/>
  <c r="Q10" i="7"/>
  <c r="B10" i="7"/>
  <c r="B8" i="7"/>
  <c r="Q8" i="7"/>
  <c r="K6" i="10"/>
  <c r="AA6" i="11"/>
  <c r="L6" i="11"/>
  <c r="L21" i="11"/>
  <c r="K21" i="10"/>
  <c r="AA21" i="11"/>
  <c r="AA12" i="11"/>
  <c r="L12" i="11"/>
  <c r="K12" i="10"/>
  <c r="K25" i="10"/>
  <c r="AA25" i="11"/>
  <c r="L25" i="11"/>
  <c r="AA20" i="11"/>
  <c r="L20" i="11"/>
  <c r="K20" i="10"/>
  <c r="L5" i="11"/>
  <c r="AA5" i="11"/>
  <c r="K5" i="10"/>
  <c r="K30" i="10"/>
  <c r="AA30" i="11"/>
  <c r="L30" i="11"/>
  <c r="AA28" i="11"/>
  <c r="L28" i="11"/>
  <c r="K28" i="10"/>
  <c r="C4" i="7"/>
  <c r="C3" i="10"/>
  <c r="K22" i="10"/>
  <c r="AA22" i="11"/>
  <c r="L22" i="11"/>
  <c r="K24" i="10"/>
  <c r="AA24" i="11"/>
  <c r="L24" i="11"/>
  <c r="K15" i="10"/>
  <c r="AA15" i="11"/>
  <c r="L15" i="11"/>
  <c r="L9" i="11"/>
  <c r="AA9" i="11"/>
  <c r="K9" i="10"/>
  <c r="AA19" i="11"/>
  <c r="L19" i="11"/>
  <c r="K19" i="10"/>
  <c r="K11" i="10"/>
  <c r="L11" i="11"/>
  <c r="AA11" i="11"/>
  <c r="D3" i="11"/>
  <c r="K10" i="10"/>
  <c r="L10" i="11"/>
  <c r="AA10" i="11"/>
  <c r="K8" i="10"/>
  <c r="AA8" i="11"/>
  <c r="L8" i="11"/>
  <c r="L29" i="11"/>
  <c r="AA29" i="11"/>
  <c r="K29" i="10"/>
  <c r="AA7" i="11"/>
  <c r="L7" i="11"/>
  <c r="K7" i="10"/>
  <c r="L23" i="11"/>
  <c r="K23" i="10"/>
  <c r="AA23" i="11"/>
  <c r="K26" i="10"/>
  <c r="AA26" i="11"/>
  <c r="L26" i="11"/>
  <c r="K16" i="10"/>
  <c r="AA16" i="11"/>
  <c r="L16" i="11"/>
  <c r="K27" i="10"/>
  <c r="AA27" i="11"/>
  <c r="L27" i="11"/>
  <c r="K17" i="10"/>
  <c r="L17" i="11"/>
  <c r="AA17" i="11"/>
  <c r="T4" i="11"/>
  <c r="E4" i="11"/>
  <c r="E3" i="11" s="1"/>
  <c r="D4" i="10"/>
  <c r="D3" i="10" s="1"/>
  <c r="AA13" i="11"/>
  <c r="L13" i="11"/>
  <c r="K13" i="10"/>
  <c r="K14" i="10"/>
  <c r="L14" i="11"/>
  <c r="AA14" i="11"/>
  <c r="AA18" i="11"/>
  <c r="L18" i="11"/>
  <c r="K18" i="10"/>
  <c r="G4" i="14" l="1"/>
  <c r="R25" i="7"/>
  <c r="D25" i="7" s="1"/>
  <c r="R22" i="7"/>
  <c r="S7" i="7"/>
  <c r="D7" i="7"/>
  <c r="B3" i="7"/>
  <c r="C8" i="7"/>
  <c r="R8" i="7"/>
  <c r="E27" i="7"/>
  <c r="T27" i="7"/>
  <c r="D6" i="7"/>
  <c r="S6" i="7"/>
  <c r="R17" i="7"/>
  <c r="C17" i="7"/>
  <c r="R16" i="7"/>
  <c r="C16" i="7"/>
  <c r="E23" i="7"/>
  <c r="T23" i="7"/>
  <c r="S13" i="7"/>
  <c r="D13" i="7"/>
  <c r="C19" i="7"/>
  <c r="R19" i="7"/>
  <c r="D30" i="7"/>
  <c r="S30" i="7"/>
  <c r="R15" i="7"/>
  <c r="C15" i="7"/>
  <c r="R10" i="7"/>
  <c r="C10" i="7"/>
  <c r="Q3" i="7"/>
  <c r="R26" i="7"/>
  <c r="C26" i="7"/>
  <c r="E12" i="7"/>
  <c r="T12" i="7"/>
  <c r="R5" i="7"/>
  <c r="C5" i="7"/>
  <c r="T21" i="7"/>
  <c r="E21" i="7"/>
  <c r="R20" i="7"/>
  <c r="C20" i="7"/>
  <c r="E9" i="7"/>
  <c r="T9" i="7"/>
  <c r="C14" i="7"/>
  <c r="R14" i="7"/>
  <c r="S22" i="7"/>
  <c r="D22" i="7"/>
  <c r="R18" i="7"/>
  <c r="C18" i="7"/>
  <c r="R24" i="7"/>
  <c r="C24" i="7"/>
  <c r="D28" i="7"/>
  <c r="S28" i="7"/>
  <c r="E29" i="7"/>
  <c r="T29" i="7"/>
  <c r="E11" i="7"/>
  <c r="T11" i="7"/>
  <c r="AB12" i="11"/>
  <c r="M12" i="11"/>
  <c r="L12" i="10"/>
  <c r="F4" i="11"/>
  <c r="F3" i="11" s="1"/>
  <c r="U4" i="11"/>
  <c r="E4" i="10"/>
  <c r="E3" i="10" s="1"/>
  <c r="AB11" i="11"/>
  <c r="M11" i="11"/>
  <c r="L11" i="10"/>
  <c r="L10" i="10"/>
  <c r="M10" i="11"/>
  <c r="AB10" i="11"/>
  <c r="M18" i="11"/>
  <c r="L18" i="10"/>
  <c r="AB18" i="11"/>
  <c r="L8" i="10"/>
  <c r="AB8" i="11"/>
  <c r="M8" i="11"/>
  <c r="M21" i="11"/>
  <c r="AB21" i="11"/>
  <c r="L21" i="10"/>
  <c r="L6" i="10"/>
  <c r="M6" i="11"/>
  <c r="AB6" i="11"/>
  <c r="AB23" i="11"/>
  <c r="L23" i="10"/>
  <c r="M23" i="11"/>
  <c r="AB9" i="11"/>
  <c r="M9" i="11"/>
  <c r="L9" i="10"/>
  <c r="L30" i="10"/>
  <c r="M30" i="11"/>
  <c r="AB30" i="11"/>
  <c r="L16" i="10"/>
  <c r="AB16" i="11"/>
  <c r="M16" i="11"/>
  <c r="L22" i="10"/>
  <c r="M22" i="11"/>
  <c r="AB22" i="11"/>
  <c r="AB20" i="11"/>
  <c r="M20" i="11"/>
  <c r="L20" i="10"/>
  <c r="AB28" i="11"/>
  <c r="M28" i="11"/>
  <c r="L28" i="10"/>
  <c r="M13" i="11"/>
  <c r="L13" i="10"/>
  <c r="AB13" i="11"/>
  <c r="L14" i="10"/>
  <c r="AB14" i="11"/>
  <c r="M14" i="11"/>
  <c r="L7" i="10"/>
  <c r="AB7" i="11"/>
  <c r="M7" i="11"/>
  <c r="L5" i="10"/>
  <c r="AB5" i="11"/>
  <c r="M5" i="11"/>
  <c r="AB25" i="11"/>
  <c r="M25" i="11"/>
  <c r="L25" i="10"/>
  <c r="L15" i="10"/>
  <c r="AB15" i="11"/>
  <c r="M15" i="11"/>
  <c r="M29" i="11"/>
  <c r="AB29" i="11"/>
  <c r="L29" i="10"/>
  <c r="L17" i="10"/>
  <c r="M17" i="11"/>
  <c r="AB17" i="11"/>
  <c r="M27" i="11"/>
  <c r="L27" i="10"/>
  <c r="AB27" i="11"/>
  <c r="M26" i="11"/>
  <c r="L26" i="10"/>
  <c r="AB26" i="11"/>
  <c r="M19" i="11"/>
  <c r="L19" i="10"/>
  <c r="AB19" i="11"/>
  <c r="L24" i="10"/>
  <c r="AB24" i="11"/>
  <c r="M24" i="11"/>
  <c r="D4" i="7"/>
  <c r="S4" i="7"/>
  <c r="AJ13" i="7"/>
  <c r="AJ16" i="7"/>
  <c r="AJ10" i="7"/>
  <c r="AJ17" i="7"/>
  <c r="AJ14" i="7"/>
  <c r="E15" i="12" s="1"/>
  <c r="AJ11" i="7"/>
  <c r="AJ20" i="7"/>
  <c r="AJ12" i="7"/>
  <c r="AJ27" i="7"/>
  <c r="AJ4" i="7"/>
  <c r="E5" i="12" s="1"/>
  <c r="AJ30" i="7"/>
  <c r="AJ5" i="7"/>
  <c r="AJ21" i="7"/>
  <c r="AJ6" i="7"/>
  <c r="AJ19" i="7"/>
  <c r="E20" i="12" s="1"/>
  <c r="AJ26" i="7"/>
  <c r="E27" i="12" s="1"/>
  <c r="AJ25" i="7"/>
  <c r="E26" i="12" s="1"/>
  <c r="AJ29" i="7"/>
  <c r="E30" i="12" s="1"/>
  <c r="N30" i="12" s="1"/>
  <c r="AJ23" i="7"/>
  <c r="AJ3" i="7"/>
  <c r="AJ28" i="7"/>
  <c r="E29" i="12" s="1"/>
  <c r="N29" i="12" s="1"/>
  <c r="AJ22" i="7"/>
  <c r="AJ9" i="7"/>
  <c r="E10" i="12" s="1"/>
  <c r="AJ15" i="7"/>
  <c r="AJ8" i="7"/>
  <c r="AJ24" i="7"/>
  <c r="E25" i="12" s="1"/>
  <c r="AJ7" i="7"/>
  <c r="AJ18" i="7"/>
  <c r="E19" i="12" s="1"/>
  <c r="N20" i="12" l="1"/>
  <c r="N19" i="12"/>
  <c r="N25" i="12"/>
  <c r="N27" i="12"/>
  <c r="N5" i="12"/>
  <c r="N10" i="12"/>
  <c r="X10" i="12" s="1"/>
  <c r="E16" i="12"/>
  <c r="E13" i="12"/>
  <c r="X19" i="12"/>
  <c r="S25" i="7"/>
  <c r="E25" i="7" s="1"/>
  <c r="E7" i="7"/>
  <c r="T7" i="7"/>
  <c r="R3" i="7"/>
  <c r="D14" i="7"/>
  <c r="S14" i="7"/>
  <c r="D16" i="7"/>
  <c r="S16" i="7"/>
  <c r="C3" i="7"/>
  <c r="U9" i="7"/>
  <c r="F9" i="7"/>
  <c r="D10" i="7"/>
  <c r="S10" i="7"/>
  <c r="D17" i="7"/>
  <c r="S17" i="7"/>
  <c r="T28" i="7"/>
  <c r="E28" i="7"/>
  <c r="D24" i="7"/>
  <c r="S24" i="7"/>
  <c r="S5" i="7"/>
  <c r="D5" i="7"/>
  <c r="E6" i="7"/>
  <c r="T6" i="7"/>
  <c r="D19" i="7"/>
  <c r="S19" i="7"/>
  <c r="F11" i="7"/>
  <c r="U11" i="7"/>
  <c r="T22" i="7"/>
  <c r="E22" i="7"/>
  <c r="S8" i="7"/>
  <c r="D8" i="7"/>
  <c r="U12" i="7"/>
  <c r="F12" i="7"/>
  <c r="D15" i="7"/>
  <c r="S15" i="7"/>
  <c r="E13" i="7"/>
  <c r="T13" i="7"/>
  <c r="S18" i="7"/>
  <c r="D18" i="7"/>
  <c r="S20" i="7"/>
  <c r="D20" i="7"/>
  <c r="T30" i="7"/>
  <c r="E30" i="7"/>
  <c r="U23" i="7"/>
  <c r="F23" i="7"/>
  <c r="U27" i="7"/>
  <c r="F27" i="7"/>
  <c r="F29" i="7"/>
  <c r="U29" i="7"/>
  <c r="U21" i="7"/>
  <c r="F21" i="7"/>
  <c r="S26" i="7"/>
  <c r="D26" i="7"/>
  <c r="X20" i="12"/>
  <c r="N28" i="11"/>
  <c r="M28" i="10"/>
  <c r="D29" i="24" s="1"/>
  <c r="J29" i="24" s="1"/>
  <c r="M29" i="24" s="1"/>
  <c r="P29" i="24" s="1"/>
  <c r="N30" i="11"/>
  <c r="M30" i="10"/>
  <c r="N23" i="11"/>
  <c r="M23" i="10"/>
  <c r="N18" i="11"/>
  <c r="M18" i="10"/>
  <c r="D19" i="24" s="1"/>
  <c r="N11" i="11"/>
  <c r="M11" i="10"/>
  <c r="N12" i="11"/>
  <c r="M12" i="10"/>
  <c r="X29" i="12"/>
  <c r="N26" i="11"/>
  <c r="M26" i="10"/>
  <c r="D27" i="24" s="1"/>
  <c r="J27" i="24" s="1"/>
  <c r="M27" i="24" s="1"/>
  <c r="P27" i="24" s="1"/>
  <c r="N17" i="11"/>
  <c r="M17" i="10"/>
  <c r="N7" i="11"/>
  <c r="M7" i="10"/>
  <c r="N16" i="11"/>
  <c r="M16" i="10"/>
  <c r="N8" i="11"/>
  <c r="M8" i="10"/>
  <c r="G4" i="11"/>
  <c r="G3" i="11" s="1"/>
  <c r="F4" i="10"/>
  <c r="F3" i="10" s="1"/>
  <c r="V4" i="11"/>
  <c r="X27" i="12"/>
  <c r="N5" i="11"/>
  <c r="M5" i="10"/>
  <c r="N14" i="11"/>
  <c r="M14" i="10"/>
  <c r="D15" i="24" s="1"/>
  <c r="J15" i="24" s="1"/>
  <c r="M15" i="24" s="1"/>
  <c r="P15" i="24" s="1"/>
  <c r="N19" i="11"/>
  <c r="M19" i="10"/>
  <c r="N13" i="11"/>
  <c r="M13" i="10"/>
  <c r="N20" i="11"/>
  <c r="M20" i="10"/>
  <c r="N10" i="11"/>
  <c r="M10" i="10"/>
  <c r="N24" i="11"/>
  <c r="M24" i="10"/>
  <c r="D25" i="24" s="1"/>
  <c r="J25" i="24" s="1"/>
  <c r="M25" i="24" s="1"/>
  <c r="X11" i="12"/>
  <c r="E4" i="7"/>
  <c r="T4" i="7"/>
  <c r="N22" i="11"/>
  <c r="M22" i="10"/>
  <c r="X25" i="12"/>
  <c r="X30" i="12"/>
  <c r="X5" i="12"/>
  <c r="N27" i="11"/>
  <c r="M27" i="10"/>
  <c r="N25" i="11"/>
  <c r="M25" i="10"/>
  <c r="D26" i="24" s="1"/>
  <c r="J26" i="24" s="1"/>
  <c r="M26" i="24" s="1"/>
  <c r="P26" i="24" s="1"/>
  <c r="N9" i="11"/>
  <c r="M9" i="10"/>
  <c r="D10" i="24" s="1"/>
  <c r="N6" i="11"/>
  <c r="M6" i="10"/>
  <c r="N15" i="11"/>
  <c r="M15" i="10"/>
  <c r="D16" i="24" s="1"/>
  <c r="J16" i="24" s="1"/>
  <c r="M16" i="24" s="1"/>
  <c r="P16" i="24" s="1"/>
  <c r="N21" i="11"/>
  <c r="M21" i="10"/>
  <c r="N29" i="11"/>
  <c r="M29" i="10"/>
  <c r="D30" i="24" s="1"/>
  <c r="J30" i="24" s="1"/>
  <c r="M30" i="24" s="1"/>
  <c r="P30" i="24" s="1"/>
  <c r="N26" i="12" l="1"/>
  <c r="X26" i="12" s="1"/>
  <c r="R26" i="12"/>
  <c r="N13" i="12"/>
  <c r="N16" i="12"/>
  <c r="X16" i="12" s="1"/>
  <c r="D9" i="21"/>
  <c r="D7" i="21"/>
  <c r="D21" i="21"/>
  <c r="D6" i="21"/>
  <c r="H7" i="13"/>
  <c r="E9" i="21"/>
  <c r="E9" i="14"/>
  <c r="H25" i="13"/>
  <c r="E27" i="21"/>
  <c r="E27" i="14"/>
  <c r="H17" i="13"/>
  <c r="E19" i="21"/>
  <c r="E19" i="14"/>
  <c r="H5" i="13"/>
  <c r="E7" i="21"/>
  <c r="E7" i="14"/>
  <c r="H4" i="13"/>
  <c r="E6" i="21"/>
  <c r="E6" i="14"/>
  <c r="D24" i="21"/>
  <c r="H13" i="13"/>
  <c r="E15" i="21"/>
  <c r="E15" i="14"/>
  <c r="D30" i="21"/>
  <c r="D14" i="21"/>
  <c r="H15" i="13"/>
  <c r="E17" i="21"/>
  <c r="E17" i="14"/>
  <c r="H22" i="13"/>
  <c r="E24" i="21"/>
  <c r="E24" i="14"/>
  <c r="H21" i="13"/>
  <c r="E23" i="21"/>
  <c r="E23" i="14"/>
  <c r="H19" i="13"/>
  <c r="E21" i="21"/>
  <c r="E21" i="14"/>
  <c r="D10" i="21"/>
  <c r="H28" i="13"/>
  <c r="E30" i="21"/>
  <c r="E30" i="14"/>
  <c r="H8" i="13"/>
  <c r="E10" i="21"/>
  <c r="E10" i="14"/>
  <c r="H12" i="13"/>
  <c r="E14" i="21"/>
  <c r="E14" i="14"/>
  <c r="D8" i="21"/>
  <c r="D13" i="21"/>
  <c r="D31" i="21"/>
  <c r="H14" i="13"/>
  <c r="E16" i="21"/>
  <c r="E16" i="14"/>
  <c r="H9" i="13"/>
  <c r="E11" i="21"/>
  <c r="E11" i="14"/>
  <c r="D17" i="21"/>
  <c r="D22" i="21"/>
  <c r="D26" i="21"/>
  <c r="D25" i="21"/>
  <c r="D20" i="21"/>
  <c r="D20" i="24"/>
  <c r="H6" i="13"/>
  <c r="E8" i="21"/>
  <c r="E8" i="14"/>
  <c r="H11" i="13"/>
  <c r="E13" i="21"/>
  <c r="E13" i="14"/>
  <c r="H29" i="13"/>
  <c r="E31" i="21"/>
  <c r="E31" i="14"/>
  <c r="D27" i="21"/>
  <c r="H24" i="13"/>
  <c r="E26" i="21"/>
  <c r="E26" i="14"/>
  <c r="D18" i="21"/>
  <c r="D12" i="21"/>
  <c r="D29" i="21"/>
  <c r="H26" i="13"/>
  <c r="E28" i="21"/>
  <c r="E28" i="14"/>
  <c r="D19" i="21"/>
  <c r="H20" i="13"/>
  <c r="E22" i="21"/>
  <c r="E22" i="14"/>
  <c r="H23" i="13"/>
  <c r="E25" i="21"/>
  <c r="E25" i="14"/>
  <c r="H18" i="13"/>
  <c r="E20" i="21"/>
  <c r="E20" i="14"/>
  <c r="D16" i="21"/>
  <c r="D28" i="21"/>
  <c r="D23" i="21"/>
  <c r="D11" i="21"/>
  <c r="D15" i="21"/>
  <c r="H16" i="13"/>
  <c r="E18" i="21"/>
  <c r="E18" i="14"/>
  <c r="H10" i="13"/>
  <c r="E12" i="21"/>
  <c r="E12" i="14"/>
  <c r="H27" i="13"/>
  <c r="E29" i="21"/>
  <c r="E29" i="14"/>
  <c r="X13" i="12"/>
  <c r="T25" i="7"/>
  <c r="S3" i="7"/>
  <c r="U7" i="7"/>
  <c r="F7" i="7"/>
  <c r="D3" i="7"/>
  <c r="U6" i="7"/>
  <c r="F6" i="7"/>
  <c r="V27" i="7"/>
  <c r="G27" i="7"/>
  <c r="T18" i="7"/>
  <c r="E18" i="7"/>
  <c r="T8" i="7"/>
  <c r="E8" i="7"/>
  <c r="V9" i="7"/>
  <c r="G9" i="7"/>
  <c r="U13" i="7"/>
  <c r="F13" i="7"/>
  <c r="E26" i="7"/>
  <c r="T26" i="7"/>
  <c r="V23" i="7"/>
  <c r="G23" i="7"/>
  <c r="U22" i="7"/>
  <c r="F22" i="7"/>
  <c r="E5" i="7"/>
  <c r="T5" i="7"/>
  <c r="F28" i="7"/>
  <c r="U28" i="7"/>
  <c r="T15" i="7"/>
  <c r="E15" i="7"/>
  <c r="V11" i="7"/>
  <c r="G11" i="7"/>
  <c r="E24" i="7"/>
  <c r="T24" i="7"/>
  <c r="T17" i="7"/>
  <c r="E17" i="7"/>
  <c r="T16" i="7"/>
  <c r="E16" i="7"/>
  <c r="G21" i="7"/>
  <c r="V21" i="7"/>
  <c r="F30" i="7"/>
  <c r="U30" i="7"/>
  <c r="G29" i="7"/>
  <c r="V29" i="7"/>
  <c r="T19" i="7"/>
  <c r="E19" i="7"/>
  <c r="F25" i="7"/>
  <c r="U25" i="7"/>
  <c r="T10" i="7"/>
  <c r="E10" i="7"/>
  <c r="T14" i="7"/>
  <c r="E14" i="7"/>
  <c r="E20" i="7"/>
  <c r="T20" i="7"/>
  <c r="V12" i="7"/>
  <c r="G12" i="7"/>
  <c r="H4" i="11"/>
  <c r="H3" i="11" s="1"/>
  <c r="W4" i="11"/>
  <c r="G4" i="10"/>
  <c r="G3" i="10" s="1"/>
  <c r="F4" i="7"/>
  <c r="U4" i="7"/>
  <c r="O20" i="21" l="1"/>
  <c r="X20" i="21" s="1"/>
  <c r="H20" i="23" s="1"/>
  <c r="J20" i="21"/>
  <c r="S20" i="21" s="1"/>
  <c r="AB20" i="21" s="1"/>
  <c r="L20" i="23" s="1"/>
  <c r="W20" i="23" s="1"/>
  <c r="O10" i="21"/>
  <c r="X10" i="21" s="1"/>
  <c r="H10" i="23" s="1"/>
  <c r="J10" i="21"/>
  <c r="S10" i="21" s="1"/>
  <c r="AB10" i="21" s="1"/>
  <c r="L10" i="23" s="1"/>
  <c r="W10" i="23" s="1"/>
  <c r="O15" i="21"/>
  <c r="X15" i="21" s="1"/>
  <c r="H15" i="23" s="1"/>
  <c r="N23" i="21"/>
  <c r="W23" i="21" s="1"/>
  <c r="G23" i="23" s="1"/>
  <c r="R23" i="23" s="1"/>
  <c r="I23" i="21"/>
  <c r="R23" i="21" s="1"/>
  <c r="AA23" i="21" s="1"/>
  <c r="K23" i="23" s="1"/>
  <c r="V23" i="23" s="1"/>
  <c r="O26" i="21"/>
  <c r="X26" i="21" s="1"/>
  <c r="H26" i="23" s="1"/>
  <c r="J26" i="21"/>
  <c r="S26" i="21" s="1"/>
  <c r="AB26" i="21" s="1"/>
  <c r="L26" i="23" s="1"/>
  <c r="W26" i="23" s="1"/>
  <c r="N22" i="21"/>
  <c r="W22" i="21" s="1"/>
  <c r="G22" i="23" s="1"/>
  <c r="R22" i="23" s="1"/>
  <c r="I22" i="21"/>
  <c r="R22" i="21" s="1"/>
  <c r="AA22" i="21" s="1"/>
  <c r="K22" i="23" s="1"/>
  <c r="V22" i="23" s="1"/>
  <c r="N8" i="21"/>
  <c r="W8" i="21" s="1"/>
  <c r="G8" i="23" s="1"/>
  <c r="R8" i="23" s="1"/>
  <c r="I8" i="21"/>
  <c r="R8" i="21" s="1"/>
  <c r="AA8" i="21" s="1"/>
  <c r="K8" i="23" s="1"/>
  <c r="V8" i="23" s="1"/>
  <c r="N6" i="21"/>
  <c r="W6" i="21" s="1"/>
  <c r="G6" i="23" s="1"/>
  <c r="R6" i="23" s="1"/>
  <c r="I6" i="21"/>
  <c r="R6" i="21" s="1"/>
  <c r="AA6" i="21" s="1"/>
  <c r="K6" i="23" s="1"/>
  <c r="V6" i="23" s="1"/>
  <c r="O29" i="21"/>
  <c r="X29" i="21" s="1"/>
  <c r="H29" i="23" s="1"/>
  <c r="J29" i="21"/>
  <c r="S29" i="21" s="1"/>
  <c r="AB29" i="21" s="1"/>
  <c r="O18" i="21"/>
  <c r="X18" i="21" s="1"/>
  <c r="H18" i="23" s="1"/>
  <c r="J18" i="21"/>
  <c r="S18" i="21" s="1"/>
  <c r="AB18" i="21" s="1"/>
  <c r="L18" i="23" s="1"/>
  <c r="W18" i="23" s="1"/>
  <c r="N29" i="21"/>
  <c r="W29" i="21" s="1"/>
  <c r="G29" i="23" s="1"/>
  <c r="R29" i="23" s="1"/>
  <c r="I29" i="21"/>
  <c r="R29" i="21" s="1"/>
  <c r="AA29" i="21" s="1"/>
  <c r="K29" i="23" s="1"/>
  <c r="V29" i="23" s="1"/>
  <c r="J20" i="24"/>
  <c r="O16" i="21"/>
  <c r="X16" i="21" s="1"/>
  <c r="H16" i="23" s="1"/>
  <c r="J16" i="21"/>
  <c r="S16" i="21" s="1"/>
  <c r="AB16" i="21" s="1"/>
  <c r="L16" i="23" s="1"/>
  <c r="W16" i="23" s="1"/>
  <c r="N14" i="21"/>
  <c r="W14" i="21" s="1"/>
  <c r="G14" i="23" s="1"/>
  <c r="R14" i="23" s="1"/>
  <c r="I14" i="21"/>
  <c r="R14" i="21" s="1"/>
  <c r="AA14" i="21" s="1"/>
  <c r="K14" i="23" s="1"/>
  <c r="V14" i="23" s="1"/>
  <c r="O7" i="21"/>
  <c r="X7" i="21" s="1"/>
  <c r="H7" i="23" s="1"/>
  <c r="J7" i="21"/>
  <c r="S7" i="21" s="1"/>
  <c r="AB7" i="21" s="1"/>
  <c r="L7" i="23" s="1"/>
  <c r="W7" i="23" s="1"/>
  <c r="O27" i="21"/>
  <c r="X27" i="21" s="1"/>
  <c r="H27" i="23" s="1"/>
  <c r="J27" i="21"/>
  <c r="S27" i="21" s="1"/>
  <c r="AB27" i="21" s="1"/>
  <c r="L27" i="23" s="1"/>
  <c r="W27" i="23" s="1"/>
  <c r="O22" i="21"/>
  <c r="X22" i="21" s="1"/>
  <c r="H22" i="23" s="1"/>
  <c r="J22" i="21"/>
  <c r="S22" i="21" s="1"/>
  <c r="AB22" i="21" s="1"/>
  <c r="L22" i="23" s="1"/>
  <c r="W22" i="23" s="1"/>
  <c r="N10" i="21"/>
  <c r="W10" i="21" s="1"/>
  <c r="G10" i="23" s="1"/>
  <c r="R10" i="23" s="1"/>
  <c r="I10" i="21"/>
  <c r="R10" i="21" s="1"/>
  <c r="AA10" i="21" s="1"/>
  <c r="K10" i="23" s="1"/>
  <c r="V10" i="23" s="1"/>
  <c r="N28" i="21"/>
  <c r="W28" i="21" s="1"/>
  <c r="G28" i="23" s="1"/>
  <c r="R28" i="23" s="1"/>
  <c r="I28" i="21"/>
  <c r="R28" i="21" s="1"/>
  <c r="AA28" i="21" s="1"/>
  <c r="K28" i="23" s="1"/>
  <c r="V28" i="23" s="1"/>
  <c r="J19" i="24"/>
  <c r="O13" i="21"/>
  <c r="X13" i="21" s="1"/>
  <c r="H13" i="23" s="1"/>
  <c r="J13" i="21"/>
  <c r="S13" i="21" s="1"/>
  <c r="AB13" i="21" s="1"/>
  <c r="L13" i="23" s="1"/>
  <c r="W13" i="23" s="1"/>
  <c r="N20" i="21"/>
  <c r="I20" i="21"/>
  <c r="R20" i="21" s="1"/>
  <c r="AA20" i="21" s="1"/>
  <c r="K20" i="23" s="1"/>
  <c r="V20" i="23" s="1"/>
  <c r="N17" i="21"/>
  <c r="W17" i="21" s="1"/>
  <c r="G17" i="23" s="1"/>
  <c r="R17" i="23" s="1"/>
  <c r="I17" i="21"/>
  <c r="R17" i="21" s="1"/>
  <c r="AA17" i="21" s="1"/>
  <c r="K17" i="23" s="1"/>
  <c r="V17" i="23" s="1"/>
  <c r="O21" i="21"/>
  <c r="X21" i="21" s="1"/>
  <c r="H21" i="23" s="1"/>
  <c r="J21" i="21"/>
  <c r="S21" i="21" s="1"/>
  <c r="AB21" i="21" s="1"/>
  <c r="L21" i="23" s="1"/>
  <c r="W21" i="23" s="1"/>
  <c r="O24" i="21"/>
  <c r="X24" i="21" s="1"/>
  <c r="H24" i="23" s="1"/>
  <c r="J24" i="21"/>
  <c r="S24" i="21" s="1"/>
  <c r="AB24" i="21" s="1"/>
  <c r="L24" i="23" s="1"/>
  <c r="W24" i="23" s="1"/>
  <c r="N24" i="21"/>
  <c r="W24" i="21" s="1"/>
  <c r="G24" i="23" s="1"/>
  <c r="R24" i="23" s="1"/>
  <c r="I24" i="21"/>
  <c r="R24" i="21" s="1"/>
  <c r="AA24" i="21" s="1"/>
  <c r="K24" i="23" s="1"/>
  <c r="V24" i="23" s="1"/>
  <c r="N21" i="21"/>
  <c r="W21" i="21" s="1"/>
  <c r="G21" i="23" s="1"/>
  <c r="R21" i="23" s="1"/>
  <c r="I21" i="21"/>
  <c r="R21" i="21" s="1"/>
  <c r="AA21" i="21" s="1"/>
  <c r="K21" i="23" s="1"/>
  <c r="V21" i="23" s="1"/>
  <c r="O25" i="21"/>
  <c r="X25" i="21" s="1"/>
  <c r="H25" i="23" s="1"/>
  <c r="J25" i="21"/>
  <c r="S25" i="21" s="1"/>
  <c r="AB25" i="21" s="1"/>
  <c r="L25" i="23" s="1"/>
  <c r="W25" i="23" s="1"/>
  <c r="O14" i="21"/>
  <c r="X14" i="21" s="1"/>
  <c r="H14" i="23" s="1"/>
  <c r="J14" i="21"/>
  <c r="S14" i="21" s="1"/>
  <c r="AB14" i="21" s="1"/>
  <c r="L14" i="23" s="1"/>
  <c r="W14" i="23" s="1"/>
  <c r="N15" i="21"/>
  <c r="W15" i="21" s="1"/>
  <c r="G15" i="23" s="1"/>
  <c r="R15" i="23" s="1"/>
  <c r="N16" i="21"/>
  <c r="W16" i="21" s="1"/>
  <c r="G16" i="23" s="1"/>
  <c r="R16" i="23" s="1"/>
  <c r="I16" i="21"/>
  <c r="R16" i="21" s="1"/>
  <c r="AA16" i="21" s="1"/>
  <c r="K16" i="23" s="1"/>
  <c r="N25" i="21"/>
  <c r="W25" i="21" s="1"/>
  <c r="G25" i="23" s="1"/>
  <c r="R25" i="23" s="1"/>
  <c r="I25" i="21"/>
  <c r="R25" i="21" s="1"/>
  <c r="AA25" i="21" s="1"/>
  <c r="K25" i="23" s="1"/>
  <c r="V25" i="23" s="1"/>
  <c r="N31" i="21"/>
  <c r="W31" i="21" s="1"/>
  <c r="G31" i="23" s="1"/>
  <c r="R31" i="23" s="1"/>
  <c r="I31" i="21"/>
  <c r="R31" i="21" s="1"/>
  <c r="AA31" i="21" s="1"/>
  <c r="K31" i="23" s="1"/>
  <c r="V31" i="23" s="1"/>
  <c r="N30" i="21"/>
  <c r="W30" i="21" s="1"/>
  <c r="G30" i="23" s="1"/>
  <c r="R30" i="23" s="1"/>
  <c r="I30" i="21"/>
  <c r="R30" i="21" s="1"/>
  <c r="AA30" i="21" s="1"/>
  <c r="K30" i="23" s="1"/>
  <c r="V30" i="23" s="1"/>
  <c r="N7" i="21"/>
  <c r="W7" i="21" s="1"/>
  <c r="G7" i="23" s="1"/>
  <c r="R7" i="23" s="1"/>
  <c r="I7" i="21"/>
  <c r="R7" i="21" s="1"/>
  <c r="AA7" i="21" s="1"/>
  <c r="K7" i="23" s="1"/>
  <c r="V7" i="23" s="1"/>
  <c r="N12" i="21"/>
  <c r="W12" i="21" s="1"/>
  <c r="G12" i="23" s="1"/>
  <c r="R12" i="23" s="1"/>
  <c r="I12" i="21"/>
  <c r="R12" i="21" s="1"/>
  <c r="AA12" i="21" s="1"/>
  <c r="K12" i="23" s="1"/>
  <c r="V12" i="23" s="1"/>
  <c r="O30" i="21"/>
  <c r="X30" i="21" s="1"/>
  <c r="H30" i="23" s="1"/>
  <c r="J30" i="21"/>
  <c r="S30" i="21" s="1"/>
  <c r="AB30" i="21" s="1"/>
  <c r="O12" i="21"/>
  <c r="X12" i="21" s="1"/>
  <c r="H12" i="23" s="1"/>
  <c r="J12" i="21"/>
  <c r="S12" i="21" s="1"/>
  <c r="AB12" i="21" s="1"/>
  <c r="L12" i="23" s="1"/>
  <c r="W12" i="23" s="1"/>
  <c r="N18" i="21"/>
  <c r="W18" i="21" s="1"/>
  <c r="G18" i="23" s="1"/>
  <c r="R18" i="23" s="1"/>
  <c r="I18" i="21"/>
  <c r="R18" i="21" s="1"/>
  <c r="AA18" i="21" s="1"/>
  <c r="K18" i="23" s="1"/>
  <c r="V18" i="23" s="1"/>
  <c r="O11" i="21"/>
  <c r="X11" i="21" s="1"/>
  <c r="H11" i="23" s="1"/>
  <c r="J11" i="21"/>
  <c r="S11" i="21" s="1"/>
  <c r="AB11" i="21" s="1"/>
  <c r="L11" i="23" s="1"/>
  <c r="W11" i="23" s="1"/>
  <c r="O6" i="21"/>
  <c r="X6" i="21" s="1"/>
  <c r="H6" i="23" s="1"/>
  <c r="J6" i="21"/>
  <c r="S6" i="21" s="1"/>
  <c r="AB6" i="21" s="1"/>
  <c r="L6" i="23" s="1"/>
  <c r="W6" i="23" s="1"/>
  <c r="O19" i="21"/>
  <c r="X19" i="21" s="1"/>
  <c r="H19" i="23" s="1"/>
  <c r="J19" i="21"/>
  <c r="S19" i="21" s="1"/>
  <c r="AB19" i="21" s="1"/>
  <c r="L19" i="23" s="1"/>
  <c r="W19" i="23" s="1"/>
  <c r="O9" i="21"/>
  <c r="X9" i="21" s="1"/>
  <c r="H9" i="23" s="1"/>
  <c r="J9" i="21"/>
  <c r="S9" i="21" s="1"/>
  <c r="AB9" i="21" s="1"/>
  <c r="L9" i="23" s="1"/>
  <c r="W9" i="23" s="1"/>
  <c r="N19" i="21"/>
  <c r="W19" i="21" s="1"/>
  <c r="G19" i="23" s="1"/>
  <c r="R19" i="23" s="1"/>
  <c r="I19" i="21"/>
  <c r="R19" i="21" s="1"/>
  <c r="AA19" i="21" s="1"/>
  <c r="K19" i="23" s="1"/>
  <c r="V19" i="23" s="1"/>
  <c r="N27" i="21"/>
  <c r="W27" i="21" s="1"/>
  <c r="G27" i="23" s="1"/>
  <c r="R27" i="23" s="1"/>
  <c r="I27" i="21"/>
  <c r="R27" i="21" s="1"/>
  <c r="AA27" i="21" s="1"/>
  <c r="K27" i="23" s="1"/>
  <c r="V27" i="23" s="1"/>
  <c r="N11" i="21"/>
  <c r="W11" i="21" s="1"/>
  <c r="G11" i="23" s="1"/>
  <c r="R11" i="23" s="1"/>
  <c r="I11" i="21"/>
  <c r="R11" i="21" s="1"/>
  <c r="AA11" i="21" s="1"/>
  <c r="K11" i="23" s="1"/>
  <c r="V11" i="23" s="1"/>
  <c r="W20" i="21"/>
  <c r="G20" i="23" s="1"/>
  <c r="R20" i="23" s="1"/>
  <c r="O28" i="21"/>
  <c r="X28" i="21" s="1"/>
  <c r="H28" i="23" s="1"/>
  <c r="J28" i="21"/>
  <c r="S28" i="21" s="1"/>
  <c r="AB28" i="21" s="1"/>
  <c r="L28" i="23" s="1"/>
  <c r="W28" i="23" s="1"/>
  <c r="O31" i="21"/>
  <c r="X31" i="21" s="1"/>
  <c r="H31" i="23" s="1"/>
  <c r="J31" i="21"/>
  <c r="S31" i="21" s="1"/>
  <c r="AB31" i="21" s="1"/>
  <c r="O8" i="21"/>
  <c r="X8" i="21" s="1"/>
  <c r="H8" i="23" s="1"/>
  <c r="J8" i="21"/>
  <c r="S8" i="21" s="1"/>
  <c r="AB8" i="21" s="1"/>
  <c r="N26" i="21"/>
  <c r="W26" i="21" s="1"/>
  <c r="G26" i="23" s="1"/>
  <c r="R26" i="23" s="1"/>
  <c r="I26" i="21"/>
  <c r="R26" i="21" s="1"/>
  <c r="AA26" i="21" s="1"/>
  <c r="K26" i="23" s="1"/>
  <c r="V26" i="23" s="1"/>
  <c r="N13" i="21"/>
  <c r="W13" i="21" s="1"/>
  <c r="G13" i="23" s="1"/>
  <c r="R13" i="23" s="1"/>
  <c r="I13" i="21"/>
  <c r="R13" i="21" s="1"/>
  <c r="AA13" i="21" s="1"/>
  <c r="K13" i="23" s="1"/>
  <c r="V13" i="23" s="1"/>
  <c r="J10" i="24"/>
  <c r="O23" i="21"/>
  <c r="X23" i="21" s="1"/>
  <c r="H23" i="23" s="1"/>
  <c r="J23" i="21"/>
  <c r="S23" i="21" s="1"/>
  <c r="AB23" i="21" s="1"/>
  <c r="L23" i="23" s="1"/>
  <c r="W23" i="23" s="1"/>
  <c r="O17" i="21"/>
  <c r="X17" i="21" s="1"/>
  <c r="H17" i="23" s="1"/>
  <c r="J17" i="21"/>
  <c r="S17" i="21" s="1"/>
  <c r="AB17" i="21" s="1"/>
  <c r="N9" i="21"/>
  <c r="W9" i="21" s="1"/>
  <c r="G9" i="23" s="1"/>
  <c r="R9" i="23" s="1"/>
  <c r="I9" i="21"/>
  <c r="R9" i="21" s="1"/>
  <c r="AA9" i="21" s="1"/>
  <c r="K9" i="23" s="1"/>
  <c r="V9" i="23" s="1"/>
  <c r="G7" i="7"/>
  <c r="V7" i="7"/>
  <c r="E3" i="7"/>
  <c r="W27" i="7"/>
  <c r="H27" i="7"/>
  <c r="U19" i="7"/>
  <c r="F19" i="7"/>
  <c r="U15" i="7"/>
  <c r="F15" i="7"/>
  <c r="H29" i="7"/>
  <c r="W29" i="7"/>
  <c r="V28" i="7"/>
  <c r="G28" i="7"/>
  <c r="F26" i="7"/>
  <c r="U26" i="7"/>
  <c r="V6" i="7"/>
  <c r="G6" i="7"/>
  <c r="V30" i="7"/>
  <c r="G30" i="7"/>
  <c r="U24" i="7"/>
  <c r="F24" i="7"/>
  <c r="F5" i="7"/>
  <c r="U5" i="7"/>
  <c r="U8" i="7"/>
  <c r="F8" i="7"/>
  <c r="U14" i="7"/>
  <c r="F14" i="7"/>
  <c r="F17" i="7"/>
  <c r="U17" i="7"/>
  <c r="U10" i="7"/>
  <c r="F10" i="7"/>
  <c r="G13" i="7"/>
  <c r="V13" i="7"/>
  <c r="F20" i="7"/>
  <c r="U20" i="7"/>
  <c r="H9" i="7"/>
  <c r="W9" i="7"/>
  <c r="F16" i="7"/>
  <c r="U16" i="7"/>
  <c r="H23" i="7"/>
  <c r="W23" i="7"/>
  <c r="G25" i="7"/>
  <c r="V25" i="7"/>
  <c r="W21" i="7"/>
  <c r="H21" i="7"/>
  <c r="F18" i="7"/>
  <c r="U18" i="7"/>
  <c r="T3" i="7"/>
  <c r="W12" i="7"/>
  <c r="H12" i="7"/>
  <c r="W11" i="7"/>
  <c r="H11" i="7"/>
  <c r="G22" i="7"/>
  <c r="V22" i="7"/>
  <c r="G4" i="7"/>
  <c r="V4" i="7"/>
  <c r="I4" i="11"/>
  <c r="I3" i="11" s="1"/>
  <c r="X4" i="11"/>
  <c r="H4" i="10"/>
  <c r="H3" i="10" s="1"/>
  <c r="S28" i="23" l="1"/>
  <c r="S63" i="23" s="1"/>
  <c r="J28" i="22"/>
  <c r="L28" i="22" s="1"/>
  <c r="N28" i="22" s="1"/>
  <c r="J21" i="22"/>
  <c r="L21" i="22" s="1"/>
  <c r="N21" i="22" s="1"/>
  <c r="S21" i="23"/>
  <c r="S56" i="23" s="1"/>
  <c r="S13" i="23"/>
  <c r="S48" i="23" s="1"/>
  <c r="J13" i="22"/>
  <c r="L13" i="22" s="1"/>
  <c r="N13" i="22" s="1"/>
  <c r="S9" i="23"/>
  <c r="S44" i="23" s="1"/>
  <c r="J9" i="22"/>
  <c r="L9" i="22" s="1"/>
  <c r="N9" i="22" s="1"/>
  <c r="S17" i="23"/>
  <c r="S52" i="23" s="1"/>
  <c r="J17" i="22"/>
  <c r="L17" i="22" s="1"/>
  <c r="N17" i="22" s="1"/>
  <c r="S19" i="23"/>
  <c r="S54" i="23" s="1"/>
  <c r="J19" i="22"/>
  <c r="L19" i="22" s="1"/>
  <c r="N19" i="22" s="1"/>
  <c r="S12" i="23"/>
  <c r="S47" i="23" s="1"/>
  <c r="J12" i="22"/>
  <c r="L12" i="22" s="1"/>
  <c r="N12" i="22" s="1"/>
  <c r="S15" i="23"/>
  <c r="S50" i="23" s="1"/>
  <c r="J15" i="22"/>
  <c r="L15" i="22" s="1"/>
  <c r="N15" i="22" s="1"/>
  <c r="S14" i="23"/>
  <c r="S49" i="23" s="1"/>
  <c r="J14" i="22"/>
  <c r="L14" i="22" s="1"/>
  <c r="N14" i="22" s="1"/>
  <c r="S18" i="23"/>
  <c r="S53" i="23" s="1"/>
  <c r="J18" i="22"/>
  <c r="L18" i="22" s="1"/>
  <c r="N18" i="22" s="1"/>
  <c r="S26" i="23"/>
  <c r="S61" i="23" s="1"/>
  <c r="J26" i="22"/>
  <c r="L26" i="22" s="1"/>
  <c r="N26" i="22" s="1"/>
  <c r="S23" i="23"/>
  <c r="S58" i="23" s="1"/>
  <c r="J23" i="22"/>
  <c r="L23" i="22" s="1"/>
  <c r="N23" i="22" s="1"/>
  <c r="S6" i="23"/>
  <c r="S41" i="23" s="1"/>
  <c r="J6" i="22"/>
  <c r="L6" i="22" s="1"/>
  <c r="N6" i="22" s="1"/>
  <c r="J30" i="22"/>
  <c r="L30" i="22" s="1"/>
  <c r="N30" i="22" s="1"/>
  <c r="S30" i="23"/>
  <c r="S65" i="23" s="1"/>
  <c r="S22" i="23"/>
  <c r="S57" i="23" s="1"/>
  <c r="J22" i="22"/>
  <c r="L22" i="22" s="1"/>
  <c r="N22" i="22" s="1"/>
  <c r="S16" i="23"/>
  <c r="S51" i="23" s="1"/>
  <c r="J16" i="22"/>
  <c r="L16" i="22" s="1"/>
  <c r="N16" i="22" s="1"/>
  <c r="J7" i="22"/>
  <c r="L7" i="22" s="1"/>
  <c r="N7" i="22" s="1"/>
  <c r="S7" i="23"/>
  <c r="S42" i="23" s="1"/>
  <c r="S8" i="23"/>
  <c r="S43" i="23" s="1"/>
  <c r="J8" i="22"/>
  <c r="L8" i="22" s="1"/>
  <c r="N8" i="22" s="1"/>
  <c r="J25" i="22"/>
  <c r="L25" i="22" s="1"/>
  <c r="N25" i="22" s="1"/>
  <c r="S25" i="23"/>
  <c r="S60" i="23" s="1"/>
  <c r="S29" i="23"/>
  <c r="S64" i="23" s="1"/>
  <c r="J29" i="22"/>
  <c r="L29" i="22" s="1"/>
  <c r="N29" i="22" s="1"/>
  <c r="S11" i="23"/>
  <c r="S46" i="23" s="1"/>
  <c r="J11" i="22"/>
  <c r="L11" i="22" s="1"/>
  <c r="N11" i="22" s="1"/>
  <c r="S27" i="23"/>
  <c r="S62" i="23" s="1"/>
  <c r="J27" i="22"/>
  <c r="L27" i="22" s="1"/>
  <c r="N27" i="22" s="1"/>
  <c r="J10" i="22"/>
  <c r="L10" i="22" s="1"/>
  <c r="N10" i="22" s="1"/>
  <c r="S10" i="23"/>
  <c r="S45" i="23" s="1"/>
  <c r="S20" i="23"/>
  <c r="S55" i="23" s="1"/>
  <c r="J20" i="22"/>
  <c r="L20" i="22" s="1"/>
  <c r="N20" i="22" s="1"/>
  <c r="J31" i="22"/>
  <c r="L31" i="22" s="1"/>
  <c r="N31" i="22" s="1"/>
  <c r="S31" i="23"/>
  <c r="S66" i="23" s="1"/>
  <c r="S24" i="23"/>
  <c r="S59" i="23" s="1"/>
  <c r="J24" i="22"/>
  <c r="L24" i="22" s="1"/>
  <c r="N24" i="22" s="1"/>
  <c r="L17" i="23"/>
  <c r="W17" i="23" s="1"/>
  <c r="W52" i="23" s="1"/>
  <c r="L8" i="23"/>
  <c r="W8" i="23" s="1"/>
  <c r="W43" i="23" s="1"/>
  <c r="L30" i="23"/>
  <c r="W30" i="23" s="1"/>
  <c r="W65" i="23" s="1"/>
  <c r="L29" i="23"/>
  <c r="W29" i="23" s="1"/>
  <c r="W64" i="23" s="1"/>
  <c r="L31" i="23"/>
  <c r="W31" i="23" s="1"/>
  <c r="W66" i="23" s="1"/>
  <c r="V16" i="23"/>
  <c r="V51" i="23" s="1"/>
  <c r="W41" i="23"/>
  <c r="W62" i="23"/>
  <c r="W59" i="23"/>
  <c r="W42" i="23"/>
  <c r="W63" i="23"/>
  <c r="W54" i="23"/>
  <c r="W47" i="23"/>
  <c r="W44" i="23"/>
  <c r="W49" i="23"/>
  <c r="W58" i="23"/>
  <c r="W56" i="23"/>
  <c r="W48" i="23"/>
  <c r="W45" i="23"/>
  <c r="W55" i="23"/>
  <c r="W46" i="23"/>
  <c r="W60" i="23"/>
  <c r="W57" i="23"/>
  <c r="W51" i="23"/>
  <c r="W53" i="23"/>
  <c r="W61" i="23"/>
  <c r="V42" i="23"/>
  <c r="R42" i="23"/>
  <c r="R51" i="23"/>
  <c r="R54" i="23"/>
  <c r="V63" i="23"/>
  <c r="R63" i="23"/>
  <c r="V43" i="23"/>
  <c r="R43" i="23"/>
  <c r="V61" i="23"/>
  <c r="R61" i="23"/>
  <c r="R65" i="23"/>
  <c r="R50" i="23"/>
  <c r="V56" i="23"/>
  <c r="R56" i="23"/>
  <c r="V52" i="23"/>
  <c r="R52" i="23"/>
  <c r="V57" i="23"/>
  <c r="R57" i="23"/>
  <c r="R45" i="23"/>
  <c r="V53" i="23"/>
  <c r="R53" i="23"/>
  <c r="V66" i="23"/>
  <c r="R66" i="23"/>
  <c r="V49" i="23"/>
  <c r="R49" i="23"/>
  <c r="V62" i="23"/>
  <c r="R62" i="23"/>
  <c r="V59" i="23"/>
  <c r="R59" i="23"/>
  <c r="R55" i="23"/>
  <c r="V64" i="23"/>
  <c r="R64" i="23"/>
  <c r="V46" i="23"/>
  <c r="R46" i="23"/>
  <c r="V44" i="23"/>
  <c r="R44" i="23"/>
  <c r="V48" i="23"/>
  <c r="R48" i="23"/>
  <c r="V60" i="23"/>
  <c r="R60" i="23"/>
  <c r="V47" i="23"/>
  <c r="R47" i="23"/>
  <c r="V41" i="23"/>
  <c r="R41" i="23"/>
  <c r="V58" i="23"/>
  <c r="R58" i="23"/>
  <c r="M19" i="24"/>
  <c r="M10" i="24"/>
  <c r="M20" i="24"/>
  <c r="W7" i="7"/>
  <c r="H7" i="7"/>
  <c r="U3" i="7"/>
  <c r="F3" i="7"/>
  <c r="I11" i="7"/>
  <c r="X11" i="7"/>
  <c r="G19" i="7"/>
  <c r="V19" i="7"/>
  <c r="I12" i="7"/>
  <c r="X12" i="7"/>
  <c r="X23" i="7"/>
  <c r="I23" i="7"/>
  <c r="V14" i="7"/>
  <c r="G14" i="7"/>
  <c r="W28" i="7"/>
  <c r="H28" i="7"/>
  <c r="I27" i="7"/>
  <c r="X27" i="7"/>
  <c r="H13" i="7"/>
  <c r="W13" i="7"/>
  <c r="X29" i="7"/>
  <c r="I29" i="7"/>
  <c r="V18" i="7"/>
  <c r="G18" i="7"/>
  <c r="V16" i="7"/>
  <c r="G16" i="7"/>
  <c r="W30" i="7"/>
  <c r="H30" i="7"/>
  <c r="H25" i="7"/>
  <c r="W25" i="7"/>
  <c r="V24" i="7"/>
  <c r="G24" i="7"/>
  <c r="W22" i="7"/>
  <c r="H22" i="7"/>
  <c r="G20" i="7"/>
  <c r="V20" i="7"/>
  <c r="X9" i="7"/>
  <c r="I9" i="7"/>
  <c r="G10" i="7"/>
  <c r="V10" i="7"/>
  <c r="V8" i="7"/>
  <c r="G8" i="7"/>
  <c r="W6" i="7"/>
  <c r="H6" i="7"/>
  <c r="V15" i="7"/>
  <c r="G15" i="7"/>
  <c r="I21" i="7"/>
  <c r="X21" i="7"/>
  <c r="G17" i="7"/>
  <c r="V17" i="7"/>
  <c r="G5" i="7"/>
  <c r="V5" i="7"/>
  <c r="G26" i="7"/>
  <c r="V26" i="7"/>
  <c r="Y4" i="11"/>
  <c r="J4" i="11"/>
  <c r="J3" i="11" s="1"/>
  <c r="I4" i="10"/>
  <c r="I3" i="10" s="1"/>
  <c r="H4" i="7"/>
  <c r="W4" i="7"/>
  <c r="P10" i="24" l="1"/>
  <c r="P20" i="24"/>
  <c r="P19" i="24"/>
  <c r="I7" i="7"/>
  <c r="X7" i="7"/>
  <c r="G3" i="7"/>
  <c r="W14" i="7"/>
  <c r="H14" i="7"/>
  <c r="I13" i="7"/>
  <c r="X13" i="7"/>
  <c r="Y21" i="7"/>
  <c r="J21" i="7"/>
  <c r="W10" i="7"/>
  <c r="H10" i="7"/>
  <c r="J23" i="7"/>
  <c r="Y23" i="7"/>
  <c r="W17" i="7"/>
  <c r="H17" i="7"/>
  <c r="H16" i="7"/>
  <c r="W16" i="7"/>
  <c r="J27" i="7"/>
  <c r="Y27" i="7"/>
  <c r="J12" i="7"/>
  <c r="Y12" i="7"/>
  <c r="W24" i="7"/>
  <c r="H24" i="7"/>
  <c r="W18" i="7"/>
  <c r="H18" i="7"/>
  <c r="W19" i="7"/>
  <c r="H19" i="7"/>
  <c r="W8" i="7"/>
  <c r="H8" i="7"/>
  <c r="X30" i="7"/>
  <c r="I30" i="7"/>
  <c r="W15" i="7"/>
  <c r="H15" i="7"/>
  <c r="H5" i="7"/>
  <c r="W5" i="7"/>
  <c r="W20" i="7"/>
  <c r="H20" i="7"/>
  <c r="I25" i="7"/>
  <c r="X25" i="7"/>
  <c r="I28" i="7"/>
  <c r="X28" i="7"/>
  <c r="Y29" i="7"/>
  <c r="J29" i="7"/>
  <c r="X22" i="7"/>
  <c r="I22" i="7"/>
  <c r="W26" i="7"/>
  <c r="H26" i="7"/>
  <c r="J9" i="7"/>
  <c r="Y9" i="7"/>
  <c r="V3" i="7"/>
  <c r="I6" i="7"/>
  <c r="X6" i="7"/>
  <c r="J11" i="7"/>
  <c r="Y11" i="7"/>
  <c r="I4" i="7"/>
  <c r="X4" i="7"/>
  <c r="K4" i="11"/>
  <c r="K3" i="11" s="1"/>
  <c r="Z4" i="11"/>
  <c r="J4" i="10"/>
  <c r="J3" i="10" s="1"/>
  <c r="T65" i="23" l="1"/>
  <c r="V65" i="23"/>
  <c r="V54" i="23"/>
  <c r="T45" i="23"/>
  <c r="V45" i="23"/>
  <c r="T55" i="23"/>
  <c r="V55" i="23"/>
  <c r="W3" i="7"/>
  <c r="Y7" i="7"/>
  <c r="J7" i="7"/>
  <c r="H3" i="7"/>
  <c r="I19" i="7"/>
  <c r="X19" i="7"/>
  <c r="J25" i="7"/>
  <c r="Y25" i="7"/>
  <c r="X18" i="7"/>
  <c r="I18" i="7"/>
  <c r="I10" i="7"/>
  <c r="X10" i="7"/>
  <c r="Y28" i="7"/>
  <c r="J28" i="7"/>
  <c r="J30" i="7"/>
  <c r="Y30" i="7"/>
  <c r="Z9" i="7"/>
  <c r="K9" i="7"/>
  <c r="X15" i="7"/>
  <c r="I15" i="7"/>
  <c r="X24" i="7"/>
  <c r="I24" i="7"/>
  <c r="X8" i="7"/>
  <c r="I8" i="7"/>
  <c r="Z12" i="7"/>
  <c r="K12" i="7"/>
  <c r="Y13" i="7"/>
  <c r="J13" i="7"/>
  <c r="X14" i="7"/>
  <c r="I14" i="7"/>
  <c r="I16" i="7"/>
  <c r="X16" i="7"/>
  <c r="Z11" i="7"/>
  <c r="K11" i="7"/>
  <c r="X20" i="7"/>
  <c r="I20" i="7"/>
  <c r="I5" i="7"/>
  <c r="X5" i="7"/>
  <c r="X17" i="7"/>
  <c r="I17" i="7"/>
  <c r="X26" i="7"/>
  <c r="I26" i="7"/>
  <c r="Z21" i="7"/>
  <c r="K21" i="7"/>
  <c r="Y6" i="7"/>
  <c r="J6" i="7"/>
  <c r="J22" i="7"/>
  <c r="Y22" i="7"/>
  <c r="Z29" i="7"/>
  <c r="K29" i="7"/>
  <c r="Z27" i="7"/>
  <c r="K27" i="7"/>
  <c r="Z23" i="7"/>
  <c r="K23" i="7"/>
  <c r="L4" i="11"/>
  <c r="L3" i="11" s="1"/>
  <c r="AA4" i="11"/>
  <c r="K4" i="10"/>
  <c r="K3" i="10" s="1"/>
  <c r="J4" i="7"/>
  <c r="Y4" i="7"/>
  <c r="T54" i="23" l="1"/>
  <c r="K7" i="7"/>
  <c r="Z7" i="7"/>
  <c r="I3" i="7"/>
  <c r="Y15" i="7"/>
  <c r="J15" i="7"/>
  <c r="K22" i="7"/>
  <c r="Z22" i="7"/>
  <c r="L12" i="7"/>
  <c r="AA12" i="7"/>
  <c r="M12" i="7" s="1"/>
  <c r="L9" i="7"/>
  <c r="AA9" i="7"/>
  <c r="M9" i="7" s="1"/>
  <c r="Y18" i="7"/>
  <c r="J18" i="7"/>
  <c r="K13" i="7"/>
  <c r="Z13" i="7"/>
  <c r="K30" i="7"/>
  <c r="Z30" i="7"/>
  <c r="K25" i="7"/>
  <c r="Z25" i="7"/>
  <c r="Y17" i="7"/>
  <c r="J17" i="7"/>
  <c r="K6" i="7"/>
  <c r="Z6" i="7"/>
  <c r="Y8" i="7"/>
  <c r="J8" i="7"/>
  <c r="Y26" i="7"/>
  <c r="J26" i="7"/>
  <c r="AA11" i="7"/>
  <c r="M11" i="7" s="1"/>
  <c r="L11" i="7"/>
  <c r="J5" i="7"/>
  <c r="Y5" i="7"/>
  <c r="AA23" i="7"/>
  <c r="M23" i="7" s="1"/>
  <c r="L23" i="7"/>
  <c r="X3" i="7"/>
  <c r="L27" i="7"/>
  <c r="AA27" i="7"/>
  <c r="M27" i="7" s="1"/>
  <c r="AA21" i="7"/>
  <c r="M21" i="7" s="1"/>
  <c r="L21" i="7"/>
  <c r="J20" i="7"/>
  <c r="Y20" i="7"/>
  <c r="J14" i="7"/>
  <c r="Y14" i="7"/>
  <c r="J24" i="7"/>
  <c r="Y24" i="7"/>
  <c r="K28" i="7"/>
  <c r="Z28" i="7"/>
  <c r="J19" i="7"/>
  <c r="Y19" i="7"/>
  <c r="AA29" i="7"/>
  <c r="M29" i="7" s="1"/>
  <c r="L29" i="7"/>
  <c r="J16" i="7"/>
  <c r="Y16" i="7"/>
  <c r="J10" i="7"/>
  <c r="Y10" i="7"/>
  <c r="M4" i="11"/>
  <c r="M3" i="11" s="1"/>
  <c r="AB4" i="11"/>
  <c r="L4" i="10"/>
  <c r="L3" i="10" s="1"/>
  <c r="K4" i="7"/>
  <c r="Z4" i="7"/>
  <c r="C22" i="21" l="1"/>
  <c r="C12" i="21"/>
  <c r="C10" i="21"/>
  <c r="C24" i="21"/>
  <c r="C28" i="21"/>
  <c r="C30" i="21"/>
  <c r="C13" i="21"/>
  <c r="Y3" i="7"/>
  <c r="AA7" i="7"/>
  <c r="M7" i="7" s="1"/>
  <c r="L7" i="7"/>
  <c r="J3" i="7"/>
  <c r="AA25" i="7"/>
  <c r="L25" i="7"/>
  <c r="K26" i="7"/>
  <c r="Z26" i="7"/>
  <c r="K8" i="7"/>
  <c r="Z8" i="7"/>
  <c r="Z19" i="7"/>
  <c r="K19" i="7"/>
  <c r="Z5" i="7"/>
  <c r="K5" i="7"/>
  <c r="L6" i="7"/>
  <c r="AA6" i="7"/>
  <c r="M6" i="7" s="1"/>
  <c r="L13" i="7"/>
  <c r="AA13" i="7"/>
  <c r="M13" i="7" s="1"/>
  <c r="AA22" i="7"/>
  <c r="M22" i="7" s="1"/>
  <c r="L22" i="7"/>
  <c r="Z14" i="7"/>
  <c r="K14" i="7"/>
  <c r="AA30" i="7"/>
  <c r="M30" i="7" s="1"/>
  <c r="L30" i="7"/>
  <c r="Z20" i="7"/>
  <c r="K20" i="7"/>
  <c r="K10" i="7"/>
  <c r="Z10" i="7"/>
  <c r="L28" i="7"/>
  <c r="AA28" i="7"/>
  <c r="M28" i="7" s="1"/>
  <c r="Z16" i="7"/>
  <c r="K16" i="7"/>
  <c r="Z24" i="7"/>
  <c r="K24" i="7"/>
  <c r="K17" i="7"/>
  <c r="Z17" i="7"/>
  <c r="Z18" i="7"/>
  <c r="K18" i="7"/>
  <c r="K15" i="7"/>
  <c r="Z15" i="7"/>
  <c r="L4" i="7"/>
  <c r="AA4" i="7"/>
  <c r="N4" i="11"/>
  <c r="M4" i="10"/>
  <c r="D5" i="24" s="1"/>
  <c r="Q57" i="23" l="1"/>
  <c r="M25" i="7"/>
  <c r="C26" i="24" s="1"/>
  <c r="I26" i="24" s="1"/>
  <c r="K26" i="24"/>
  <c r="H3" i="13"/>
  <c r="E5" i="21"/>
  <c r="E5" i="14"/>
  <c r="M13" i="21"/>
  <c r="V13" i="21" s="1"/>
  <c r="F13" i="23" s="1"/>
  <c r="Q13" i="23" s="1"/>
  <c r="Q48" i="23" s="1"/>
  <c r="H13" i="21"/>
  <c r="Q13" i="21" s="1"/>
  <c r="Z13" i="21" s="1"/>
  <c r="M30" i="21"/>
  <c r="V30" i="21" s="1"/>
  <c r="F30" i="23" s="1"/>
  <c r="Q30" i="23" s="1"/>
  <c r="Q65" i="23" s="1"/>
  <c r="H30" i="21"/>
  <c r="Q30" i="21" s="1"/>
  <c r="Z30" i="21" s="1"/>
  <c r="M28" i="21"/>
  <c r="V28" i="21" s="1"/>
  <c r="F28" i="23" s="1"/>
  <c r="Q28" i="23" s="1"/>
  <c r="Q63" i="23" s="1"/>
  <c r="H28" i="21"/>
  <c r="Q28" i="21" s="1"/>
  <c r="Z28" i="21" s="1"/>
  <c r="M24" i="21"/>
  <c r="V24" i="21" s="1"/>
  <c r="F24" i="23" s="1"/>
  <c r="Q24" i="23" s="1"/>
  <c r="Q59" i="23" s="1"/>
  <c r="H24" i="21"/>
  <c r="Q24" i="21" s="1"/>
  <c r="Z24" i="21" s="1"/>
  <c r="D5" i="21"/>
  <c r="M10" i="21"/>
  <c r="V10" i="21" s="1"/>
  <c r="F10" i="23" s="1"/>
  <c r="Q10" i="23" s="1"/>
  <c r="Q45" i="23" s="1"/>
  <c r="H10" i="21"/>
  <c r="Q10" i="21" s="1"/>
  <c r="Z10" i="21" s="1"/>
  <c r="M12" i="21"/>
  <c r="V12" i="21" s="1"/>
  <c r="F12" i="23" s="1"/>
  <c r="Q12" i="23" s="1"/>
  <c r="Q47" i="23" s="1"/>
  <c r="H12" i="21"/>
  <c r="Q12" i="21" s="1"/>
  <c r="Z12" i="21" s="1"/>
  <c r="M22" i="21"/>
  <c r="V22" i="21" s="1"/>
  <c r="F22" i="23" s="1"/>
  <c r="Q22" i="23" s="1"/>
  <c r="H22" i="21"/>
  <c r="Q22" i="21" s="1"/>
  <c r="Z22" i="21" s="1"/>
  <c r="C7" i="21"/>
  <c r="C31" i="21"/>
  <c r="C29" i="21"/>
  <c r="C14" i="21"/>
  <c r="C8" i="21"/>
  <c r="C23" i="21"/>
  <c r="K3" i="7"/>
  <c r="L8" i="7"/>
  <c r="AA8" i="7"/>
  <c r="M8" i="7" s="1"/>
  <c r="AA24" i="7"/>
  <c r="M24" i="7" s="1"/>
  <c r="L24" i="7"/>
  <c r="AA20" i="7"/>
  <c r="M20" i="7" s="1"/>
  <c r="L20" i="7"/>
  <c r="AA26" i="7"/>
  <c r="M26" i="7" s="1"/>
  <c r="L26" i="7"/>
  <c r="L19" i="7"/>
  <c r="AA19" i="7"/>
  <c r="M19" i="7" s="1"/>
  <c r="L15" i="7"/>
  <c r="AA15" i="7"/>
  <c r="M15" i="7" s="1"/>
  <c r="AA16" i="7"/>
  <c r="M16" i="7" s="1"/>
  <c r="L16" i="7"/>
  <c r="AA18" i="7"/>
  <c r="M18" i="7" s="1"/>
  <c r="L18" i="7"/>
  <c r="L14" i="7"/>
  <c r="AA14" i="7"/>
  <c r="M14" i="7" s="1"/>
  <c r="AA5" i="7"/>
  <c r="M5" i="7" s="1"/>
  <c r="L5" i="7"/>
  <c r="Z3" i="7"/>
  <c r="AA17" i="7"/>
  <c r="M17" i="7" s="1"/>
  <c r="L17" i="7"/>
  <c r="AA10" i="7"/>
  <c r="M10" i="7" s="1"/>
  <c r="L10" i="7"/>
  <c r="M3" i="10"/>
  <c r="N3" i="11"/>
  <c r="M4" i="7"/>
  <c r="C26" i="21" l="1"/>
  <c r="J13" i="23"/>
  <c r="U13" i="23" s="1"/>
  <c r="U48" i="23" s="1"/>
  <c r="J10" i="23"/>
  <c r="U10" i="23" s="1"/>
  <c r="U45" i="23" s="1"/>
  <c r="J24" i="23"/>
  <c r="U24" i="23" s="1"/>
  <c r="U59" i="23" s="1"/>
  <c r="J22" i="23"/>
  <c r="U22" i="23" s="1"/>
  <c r="U57" i="23" s="1"/>
  <c r="J28" i="23"/>
  <c r="U28" i="23" s="1"/>
  <c r="U63" i="23" s="1"/>
  <c r="J12" i="23"/>
  <c r="U12" i="23" s="1"/>
  <c r="U47" i="23" s="1"/>
  <c r="J30" i="23"/>
  <c r="U30" i="23" s="1"/>
  <c r="U65" i="23" s="1"/>
  <c r="Q49" i="23"/>
  <c r="C4" i="24"/>
  <c r="C5" i="21"/>
  <c r="M14" i="21"/>
  <c r="V14" i="21" s="1"/>
  <c r="F14" i="23" s="1"/>
  <c r="Q14" i="23" s="1"/>
  <c r="H14" i="21"/>
  <c r="Q14" i="21" s="1"/>
  <c r="Z14" i="21" s="1"/>
  <c r="M29" i="21"/>
  <c r="V29" i="21" s="1"/>
  <c r="F29" i="23" s="1"/>
  <c r="Q29" i="23" s="1"/>
  <c r="Q64" i="23" s="1"/>
  <c r="H29" i="21"/>
  <c r="Q29" i="21" s="1"/>
  <c r="Z29" i="21" s="1"/>
  <c r="J5" i="24"/>
  <c r="D4" i="24"/>
  <c r="M31" i="21"/>
  <c r="V31" i="21" s="1"/>
  <c r="F31" i="23" s="1"/>
  <c r="Q31" i="23" s="1"/>
  <c r="Q66" i="23" s="1"/>
  <c r="H31" i="21"/>
  <c r="Q31" i="21" s="1"/>
  <c r="Z31" i="21" s="1"/>
  <c r="N5" i="21"/>
  <c r="I5" i="21"/>
  <c r="D4" i="21"/>
  <c r="AG36" i="21" s="1"/>
  <c r="M7" i="21"/>
  <c r="V7" i="21" s="1"/>
  <c r="F7" i="23" s="1"/>
  <c r="Q7" i="23" s="1"/>
  <c r="Q42" i="23" s="1"/>
  <c r="H7" i="21"/>
  <c r="Q7" i="21" s="1"/>
  <c r="Z7" i="21" s="1"/>
  <c r="H2" i="13"/>
  <c r="E4" i="14"/>
  <c r="M23" i="21"/>
  <c r="V23" i="21" s="1"/>
  <c r="F23" i="23" s="1"/>
  <c r="Q23" i="23" s="1"/>
  <c r="Q58" i="23" s="1"/>
  <c r="H23" i="21"/>
  <c r="Q23" i="21" s="1"/>
  <c r="Z23" i="21" s="1"/>
  <c r="O5" i="21"/>
  <c r="J5" i="21"/>
  <c r="E4" i="21"/>
  <c r="AH36" i="21" s="1"/>
  <c r="M8" i="21"/>
  <c r="V8" i="21" s="1"/>
  <c r="F8" i="23" s="1"/>
  <c r="Q8" i="23" s="1"/>
  <c r="Q43" i="23" s="1"/>
  <c r="H8" i="21"/>
  <c r="Q8" i="21" s="1"/>
  <c r="Z8" i="21" s="1"/>
  <c r="M26" i="21"/>
  <c r="V26" i="21" s="1"/>
  <c r="F26" i="23" s="1"/>
  <c r="Q26" i="23" s="1"/>
  <c r="H26" i="21"/>
  <c r="Q26" i="21" s="1"/>
  <c r="Z26" i="21" s="1"/>
  <c r="J26" i="23" s="1"/>
  <c r="U26" i="23" s="1"/>
  <c r="E2" i="13"/>
  <c r="D4" i="14"/>
  <c r="H4" i="14"/>
  <c r="C4" i="14"/>
  <c r="F4" i="14"/>
  <c r="C11" i="21"/>
  <c r="C27" i="21"/>
  <c r="C17" i="21"/>
  <c r="C21" i="21"/>
  <c r="C18" i="21"/>
  <c r="C16" i="21"/>
  <c r="C19" i="21"/>
  <c r="C6" i="21"/>
  <c r="C25" i="21"/>
  <c r="C15" i="21"/>
  <c r="C20" i="21"/>
  <c r="C9" i="21"/>
  <c r="L3" i="7"/>
  <c r="AA3" i="7"/>
  <c r="M3" i="7"/>
  <c r="J31" i="23" l="1"/>
  <c r="U31" i="23" s="1"/>
  <c r="U66" i="23" s="1"/>
  <c r="J7" i="23"/>
  <c r="U7" i="23" s="1"/>
  <c r="U42" i="23" s="1"/>
  <c r="J29" i="23"/>
  <c r="U29" i="23" s="1"/>
  <c r="U64" i="23" s="1"/>
  <c r="J8" i="23"/>
  <c r="U8" i="23" s="1"/>
  <c r="U43" i="23" s="1"/>
  <c r="J23" i="23"/>
  <c r="U23" i="23" s="1"/>
  <c r="U58" i="23" s="1"/>
  <c r="J14" i="23"/>
  <c r="U14" i="23" s="1"/>
  <c r="U49" i="23" s="1"/>
  <c r="Q55" i="23"/>
  <c r="Q61" i="23"/>
  <c r="Q56" i="23"/>
  <c r="Q60" i="23"/>
  <c r="I4" i="24"/>
  <c r="L26" i="24"/>
  <c r="M11" i="21"/>
  <c r="V11" i="21" s="1"/>
  <c r="F11" i="23" s="1"/>
  <c r="Q11" i="23" s="1"/>
  <c r="Q46" i="23" s="1"/>
  <c r="H11" i="21"/>
  <c r="Q11" i="21" s="1"/>
  <c r="Z11" i="21" s="1"/>
  <c r="M16" i="21"/>
  <c r="V16" i="21" s="1"/>
  <c r="F16" i="23" s="1"/>
  <c r="Q16" i="23" s="1"/>
  <c r="Q51" i="23" s="1"/>
  <c r="H16" i="21"/>
  <c r="Q16" i="21" s="1"/>
  <c r="Z16" i="21" s="1"/>
  <c r="O4" i="21"/>
  <c r="AH38" i="21" s="1"/>
  <c r="X5" i="21"/>
  <c r="J4" i="24"/>
  <c r="M5" i="24"/>
  <c r="M20" i="21"/>
  <c r="V20" i="21" s="1"/>
  <c r="F20" i="23" s="1"/>
  <c r="Q20" i="23" s="1"/>
  <c r="H20" i="21"/>
  <c r="Q20" i="21" s="1"/>
  <c r="Z20" i="21" s="1"/>
  <c r="M17" i="21"/>
  <c r="V17" i="21" s="1"/>
  <c r="F17" i="23" s="1"/>
  <c r="Q17" i="23" s="1"/>
  <c r="Q52" i="23" s="1"/>
  <c r="H17" i="21"/>
  <c r="Q17" i="21" s="1"/>
  <c r="Z17" i="21" s="1"/>
  <c r="H4" i="24"/>
  <c r="B4" i="24"/>
  <c r="M9" i="21"/>
  <c r="V9" i="21" s="1"/>
  <c r="F9" i="23" s="1"/>
  <c r="Q9" i="23" s="1"/>
  <c r="Q44" i="23" s="1"/>
  <c r="H9" i="21"/>
  <c r="Q9" i="21" s="1"/>
  <c r="Z9" i="21" s="1"/>
  <c r="M21" i="21"/>
  <c r="V21" i="21" s="1"/>
  <c r="F21" i="23" s="1"/>
  <c r="Q21" i="23" s="1"/>
  <c r="H21" i="21"/>
  <c r="Q21" i="21" s="1"/>
  <c r="Z21" i="21" s="1"/>
  <c r="M15" i="21"/>
  <c r="V15" i="21" s="1"/>
  <c r="F15" i="23" s="1"/>
  <c r="Q15" i="23" s="1"/>
  <c r="Q50" i="23" s="1"/>
  <c r="M27" i="21"/>
  <c r="V27" i="21" s="1"/>
  <c r="F27" i="23" s="1"/>
  <c r="Q27" i="23" s="1"/>
  <c r="Q62" i="23" s="1"/>
  <c r="H27" i="21"/>
  <c r="Q27" i="21" s="1"/>
  <c r="Z27" i="21" s="1"/>
  <c r="AK36" i="21"/>
  <c r="AG37" i="21"/>
  <c r="M25" i="21"/>
  <c r="V25" i="21" s="1"/>
  <c r="F25" i="23" s="1"/>
  <c r="Q25" i="23" s="1"/>
  <c r="H25" i="21"/>
  <c r="Q25" i="21" s="1"/>
  <c r="Z25" i="21" s="1"/>
  <c r="R5" i="21"/>
  <c r="M6" i="21"/>
  <c r="V6" i="21" s="1"/>
  <c r="F6" i="23" s="1"/>
  <c r="Q6" i="23" s="1"/>
  <c r="Q41" i="23" s="1"/>
  <c r="H6" i="21"/>
  <c r="Q6" i="21" s="1"/>
  <c r="Z6" i="21" s="1"/>
  <c r="N4" i="21"/>
  <c r="AG38" i="21" s="1"/>
  <c r="W5" i="21"/>
  <c r="M19" i="21"/>
  <c r="V19" i="21" s="1"/>
  <c r="F19" i="23" s="1"/>
  <c r="Q19" i="23" s="1"/>
  <c r="Q54" i="23" s="1"/>
  <c r="H19" i="21"/>
  <c r="Q19" i="21" s="1"/>
  <c r="Z19" i="21" s="1"/>
  <c r="AL36" i="21"/>
  <c r="AH37" i="21"/>
  <c r="M18" i="21"/>
  <c r="V18" i="21" s="1"/>
  <c r="F18" i="23" s="1"/>
  <c r="Q18" i="23" s="1"/>
  <c r="Q53" i="23" s="1"/>
  <c r="H18" i="21"/>
  <c r="Q18" i="21" s="1"/>
  <c r="Z18" i="21" s="1"/>
  <c r="S5" i="21"/>
  <c r="M5" i="21"/>
  <c r="V5" i="21" s="1"/>
  <c r="F5" i="23" s="1"/>
  <c r="H5" i="21"/>
  <c r="C4" i="21"/>
  <c r="X4" i="21" l="1"/>
  <c r="AH39" i="21" s="1"/>
  <c r="H5" i="23"/>
  <c r="Q5" i="23"/>
  <c r="Q33" i="23" s="1"/>
  <c r="F4" i="23"/>
  <c r="V4" i="21"/>
  <c r="AF39" i="21" s="1"/>
  <c r="W4" i="21"/>
  <c r="AG39" i="21" s="1"/>
  <c r="G5" i="23"/>
  <c r="J25" i="23"/>
  <c r="U25" i="23" s="1"/>
  <c r="U60" i="23" s="1"/>
  <c r="J19" i="23"/>
  <c r="U19" i="23" s="1"/>
  <c r="U54" i="23" s="1"/>
  <c r="J11" i="23"/>
  <c r="U11" i="23" s="1"/>
  <c r="U46" i="23" s="1"/>
  <c r="J9" i="23"/>
  <c r="U9" i="23" s="1"/>
  <c r="U44" i="23" s="1"/>
  <c r="J18" i="23"/>
  <c r="U18" i="23" s="1"/>
  <c r="U53" i="23" s="1"/>
  <c r="J21" i="23"/>
  <c r="U21" i="23" s="1"/>
  <c r="U56" i="23" s="1"/>
  <c r="J6" i="23"/>
  <c r="U6" i="23" s="1"/>
  <c r="U41" i="23" s="1"/>
  <c r="J27" i="23"/>
  <c r="U27" i="23" s="1"/>
  <c r="U62" i="23" s="1"/>
  <c r="J17" i="23"/>
  <c r="U17" i="23" s="1"/>
  <c r="U52" i="23" s="1"/>
  <c r="J20" i="23"/>
  <c r="U20" i="23" s="1"/>
  <c r="U55" i="23" s="1"/>
  <c r="J16" i="23"/>
  <c r="U16" i="23" s="1"/>
  <c r="U51" i="23" s="1"/>
  <c r="O26" i="24"/>
  <c r="L4" i="24"/>
  <c r="AA5" i="21"/>
  <c r="K5" i="23" s="1"/>
  <c r="V5" i="23" s="1"/>
  <c r="Q5" i="21"/>
  <c r="Z5" i="21" s="1"/>
  <c r="M4" i="21"/>
  <c r="AF38" i="21" s="1"/>
  <c r="Q4" i="23"/>
  <c r="AB5" i="21"/>
  <c r="L5" i="23" s="1"/>
  <c r="W5" i="23" s="1"/>
  <c r="K4" i="24"/>
  <c r="M4" i="24"/>
  <c r="P5" i="24"/>
  <c r="AF36" i="21"/>
  <c r="R5" i="23" l="1"/>
  <c r="G4" i="23"/>
  <c r="Q40" i="23"/>
  <c r="Q38" i="23" s="1"/>
  <c r="S5" i="23"/>
  <c r="J5" i="22"/>
  <c r="L5" i="22" s="1"/>
  <c r="H4" i="23"/>
  <c r="J4" i="22" s="1"/>
  <c r="J5" i="23"/>
  <c r="U5" i="23" s="1"/>
  <c r="U40" i="23" s="1"/>
  <c r="O4" i="24"/>
  <c r="AJ41" i="21" s="1"/>
  <c r="N26" i="24"/>
  <c r="T61" i="23" s="1"/>
  <c r="P4" i="24"/>
  <c r="AK41" i="21" s="1"/>
  <c r="W40" i="23"/>
  <c r="V40" i="23"/>
  <c r="AJ36" i="21"/>
  <c r="AF37" i="21"/>
  <c r="R33" i="23" l="1"/>
  <c r="R40" i="23"/>
  <c r="R38" i="23" s="1"/>
  <c r="R4" i="23"/>
  <c r="N5" i="22"/>
  <c r="L4" i="22"/>
  <c r="S40" i="23"/>
  <c r="S38" i="23" s="1"/>
  <c r="S33" i="23"/>
  <c r="S4" i="23"/>
  <c r="U61" i="23"/>
  <c r="T40" i="23"/>
  <c r="T38" i="23" s="1"/>
  <c r="N4" i="24"/>
  <c r="AI41" i="21" s="1"/>
  <c r="K4" i="22" l="1"/>
  <c r="N4" i="22"/>
  <c r="T33" i="23"/>
  <c r="T4" i="23"/>
  <c r="E4" i="12" l="1"/>
  <c r="N4" i="12" s="1"/>
  <c r="X4" i="12" s="1"/>
  <c r="O15" i="12"/>
  <c r="I15" i="21" s="1"/>
  <c r="N15" i="12"/>
  <c r="H15" i="21" s="1"/>
  <c r="G4" i="12"/>
  <c r="P4" i="12" s="1"/>
  <c r="Z4" i="12" s="1"/>
  <c r="F4" i="12"/>
  <c r="O4" i="12" s="1"/>
  <c r="Y4" i="12" s="1"/>
  <c r="X15" i="12" l="1"/>
  <c r="R15" i="21"/>
  <c r="I4" i="21"/>
  <c r="AK37" i="21" s="1"/>
  <c r="H4" i="21"/>
  <c r="AJ37" i="21" s="1"/>
  <c r="Q15" i="21"/>
  <c r="Y15" i="12"/>
  <c r="P15" i="12"/>
  <c r="Z15" i="12" l="1"/>
  <c r="J15" i="21"/>
  <c r="Z15" i="21"/>
  <c r="J15" i="23" s="1"/>
  <c r="Q4" i="21"/>
  <c r="AJ38" i="21" s="1"/>
  <c r="AA15" i="21"/>
  <c r="K15" i="23" s="1"/>
  <c r="R4" i="21"/>
  <c r="AK38" i="21" s="1"/>
  <c r="V15" i="23" l="1"/>
  <c r="K4" i="23"/>
  <c r="U15" i="23"/>
  <c r="J4" i="23"/>
  <c r="AA4" i="21"/>
  <c r="AK39" i="21" s="1"/>
  <c r="Z4" i="21"/>
  <c r="AJ39" i="21" s="1"/>
  <c r="S15" i="21"/>
  <c r="J4" i="21"/>
  <c r="AL37" i="21" s="1"/>
  <c r="U33" i="23" l="1"/>
  <c r="U4" i="23"/>
  <c r="U50" i="23"/>
  <c r="U38" i="23" s="1"/>
  <c r="AB15" i="21"/>
  <c r="L15" i="23" s="1"/>
  <c r="S4" i="21"/>
  <c r="AL38" i="21" s="1"/>
  <c r="V4" i="23"/>
  <c r="V50" i="23"/>
  <c r="V38" i="23" s="1"/>
  <c r="V33" i="23"/>
  <c r="W15" i="23" l="1"/>
  <c r="L4" i="23"/>
  <c r="AB4" i="21"/>
  <c r="AL39" i="21" s="1"/>
  <c r="W33" i="23" l="1"/>
  <c r="W50" i="23"/>
  <c r="W38" i="23" s="1"/>
  <c r="W4" i="2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 van der Ende</author>
  </authors>
  <commentList>
    <comment ref="E3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Martin van der Ende:</t>
        </r>
        <r>
          <rPr>
            <sz val="9"/>
            <color indexed="81"/>
            <rFont val="Tahoma"/>
            <family val="2"/>
          </rPr>
          <t xml:space="preserve">
4 articles per day, 10 hour days</t>
        </r>
      </text>
    </comment>
    <comment ref="M3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Martin van der Ende:</t>
        </r>
        <r>
          <rPr>
            <sz val="9"/>
            <color indexed="81"/>
            <rFont val="Tahoma"/>
            <family val="2"/>
          </rPr>
          <t xml:space="preserve">
According to the article 70 hours per week occurs but 50 hours per week is more common</t>
        </r>
      </text>
    </comment>
  </commentList>
</comments>
</file>

<file path=xl/sharedStrings.xml><?xml version="1.0" encoding="utf-8"?>
<sst xmlns="http://schemas.openxmlformats.org/spreadsheetml/2006/main" count="2270" uniqueCount="466">
  <si>
    <t>AT</t>
  </si>
  <si>
    <t>BE</t>
  </si>
  <si>
    <t>BG</t>
  </si>
  <si>
    <t>CY</t>
  </si>
  <si>
    <t>CZ</t>
  </si>
  <si>
    <t>DE</t>
  </si>
  <si>
    <t>DK</t>
  </si>
  <si>
    <t>EE</t>
  </si>
  <si>
    <t>ES</t>
  </si>
  <si>
    <t>FI</t>
  </si>
  <si>
    <t>FR</t>
  </si>
  <si>
    <t>GR</t>
  </si>
  <si>
    <t>HU</t>
  </si>
  <si>
    <t>IE</t>
  </si>
  <si>
    <t>IT</t>
  </si>
  <si>
    <t>LT</t>
  </si>
  <si>
    <t>LU</t>
  </si>
  <si>
    <t>LV</t>
  </si>
  <si>
    <t>MT</t>
  </si>
  <si>
    <t>NL</t>
  </si>
  <si>
    <t>PL</t>
  </si>
  <si>
    <t>PT</t>
  </si>
  <si>
    <t>RO</t>
  </si>
  <si>
    <t>SE</t>
  </si>
  <si>
    <t>SI</t>
  </si>
  <si>
    <t>SK</t>
  </si>
  <si>
    <t>HR</t>
  </si>
  <si>
    <t>Y</t>
  </si>
  <si>
    <t>N</t>
  </si>
  <si>
    <t>Cluster</t>
  </si>
  <si>
    <t>Platform</t>
  </si>
  <si>
    <t>Assodelivery (food deliveries) &amp; UGL (trade union)</t>
  </si>
  <si>
    <t>3 &amp; 4</t>
  </si>
  <si>
    <t>Nrs secondary job platform workers</t>
  </si>
  <si>
    <t>Nrs solo self-employed</t>
  </si>
  <si>
    <t>Nrs professional solo self-employed</t>
  </si>
  <si>
    <t>Weighted: main + 1/2 secondardy</t>
  </si>
  <si>
    <t>Source: COLLEEM</t>
  </si>
  <si>
    <t>% pay effect platform workers</t>
  </si>
  <si>
    <t>% pay effect solo self-employed professionals</t>
  </si>
  <si>
    <t>% pay effect solo self-employed others</t>
  </si>
  <si>
    <t>Nrs professional solo self-employed that may currently bargain collectively</t>
  </si>
  <si>
    <t>Nrs main job platform workers 2020</t>
  </si>
  <si>
    <t>Help: survey % solo self-employed in liberal professions</t>
  </si>
  <si>
    <t>% solo self-employed opting out</t>
  </si>
  <si>
    <t>2-19 employed persons</t>
  </si>
  <si>
    <t>20-99 employed persons</t>
  </si>
  <si>
    <t>100+ employed persons</t>
  </si>
  <si>
    <t>Source: UWV (2014), Vacatures in Nederland 2013, p.32</t>
  </si>
  <si>
    <t>Reduced nr weeks</t>
  </si>
  <si>
    <t>Reduced hours per week</t>
  </si>
  <si>
    <t>Reduced fee rates</t>
  </si>
  <si>
    <t>Share of companies that hired self-employed (NL)</t>
  </si>
  <si>
    <t>Reduction fee rates of solo self-employed in the 2009 / 2010 crisis (NL)</t>
  </si>
  <si>
    <t>By type of work, 2013</t>
  </si>
  <si>
    <t>Admin</t>
  </si>
  <si>
    <t>Technical</t>
  </si>
  <si>
    <t>Production</t>
  </si>
  <si>
    <t>Medical/social</t>
  </si>
  <si>
    <t>Sales</t>
  </si>
  <si>
    <t>ICT</t>
  </si>
  <si>
    <t>Other</t>
  </si>
  <si>
    <t>Source: Labour hoarding door bedrijven, Ecorys (2010)</t>
  </si>
  <si>
    <t>1-19 employees</t>
  </si>
  <si>
    <t>20-49 employees</t>
  </si>
  <si>
    <t>40-99 employees</t>
  </si>
  <si>
    <t>100+employees</t>
  </si>
  <si>
    <t>Average numbers of solo self-employed hired by company size</t>
  </si>
  <si>
    <t xml:space="preserve">   100-249 employees</t>
  </si>
  <si>
    <t xml:space="preserve">   250+ employees</t>
  </si>
  <si>
    <t>50-249 employees</t>
  </si>
  <si>
    <t>250+employees</t>
  </si>
  <si>
    <t>EU</t>
  </si>
  <si>
    <t xml:space="preserve">   50-249 employees</t>
  </si>
  <si>
    <t>Sum hires</t>
  </si>
  <si>
    <t>Nr solo self-employed with clients</t>
  </si>
  <si>
    <t>Nrs solo self-employed working for companies 50-249 employees</t>
  </si>
  <si>
    <t>Nrs solo self-employed working for companies 250+ employees</t>
  </si>
  <si>
    <t>Nr companies by size class (Eurostat, 2018) times average nr solo self-employed hired by size class (NL, 2008-2010)</t>
  </si>
  <si>
    <t>Source: Eurostat LFS</t>
  </si>
  <si>
    <t xml:space="preserve">Eurost % professionals in solo self-employed </t>
  </si>
  <si>
    <t>Economically dependent solo self-employed</t>
  </si>
  <si>
    <t>Source: Eurostat 2017 LFS ad hoc module</t>
  </si>
  <si>
    <t>Source Italy, numbers with co-co-co contracts:</t>
  </si>
  <si>
    <t>See http://www.alicemattoni.com/wp/wp-content/uploads/2012/10/choi-mattoni-2010.pdf</t>
  </si>
  <si>
    <t>% economically dependent</t>
  </si>
  <si>
    <t xml:space="preserve">Source Austria, nr journalists: </t>
  </si>
  <si>
    <t>See https://de.statista.com/statistik/daten/studie/1091408/umfrage/journalisten-nach-branchen-in-oesterreich/</t>
  </si>
  <si>
    <t>Source Germany, nr journalists:</t>
  </si>
  <si>
    <t>See https://de.statista.com/statistik/daten/studie/417820/umfrage/journalisten-in-deutschen-medienunternehmen/</t>
  </si>
  <si>
    <t>Source Slovenia, nr journalists: estimate nr Germany corrected for population size</t>
  </si>
  <si>
    <t>Types of solo self-employed that may currently bargain collectively</t>
  </si>
  <si>
    <t>Journalists</t>
  </si>
  <si>
    <t>Economically dependent+journalists</t>
  </si>
  <si>
    <t>Economically dependent</t>
  </si>
  <si>
    <t>Co-co-co contracts</t>
  </si>
  <si>
    <t>Side-by-side, low incomes, economically dependent</t>
  </si>
  <si>
    <t>Everyone</t>
  </si>
  <si>
    <t>N self-employed affected option B-1 (working for firms 50+ employees)</t>
  </si>
  <si>
    <t>N self-employed affected option B-2 (working for firms 250+ employees)</t>
  </si>
  <si>
    <t>N self-employed affected option C (excl. professionals)</t>
  </si>
  <si>
    <t>Total nr - those that currently may already bargain collectively - those opting out</t>
  </si>
  <si>
    <t>similar country</t>
  </si>
  <si>
    <t>Current assumption: solo self-employed professionals are never economically dependent</t>
  </si>
  <si>
    <t>N self-employed affected option D (all solo self-employed)</t>
  </si>
  <si>
    <t>Solo self-employed professionals in Italy always work on co-co-co contracts</t>
  </si>
  <si>
    <t>Safety equipment</t>
  </si>
  <si>
    <t>Accident insurance</t>
  </si>
  <si>
    <t>Training</t>
  </si>
  <si>
    <t>Opt-out clause</t>
  </si>
  <si>
    <t>Collective agreement</t>
  </si>
  <si>
    <t>Before collective agreement</t>
  </si>
  <si>
    <t>Payment basis</t>
  </si>
  <si>
    <t>Delivery</t>
  </si>
  <si>
    <t>Pay rate</t>
  </si>
  <si>
    <t>App. Per hour</t>
  </si>
  <si>
    <t>Source</t>
  </si>
  <si>
    <t>https://secureservercdn.net/160.153.137.14/3be.191.myftpupload.com/wp-content/uploads/2020/10/CCNL-RIDER.pdf</t>
  </si>
  <si>
    <t>See https://strugglesinitaly.wordpress.com/2016/10/30/foodora-strikes-in-italy-the-dark-side-of-the-sharing-economy/ ; the 3.70 per delivery was offered after a strike</t>
  </si>
  <si>
    <t>Hour</t>
  </si>
  <si>
    <t>Month</t>
  </si>
  <si>
    <t>% increase</t>
  </si>
  <si>
    <t>See https://www.gigwatch.se/en/2019/09/21/foodora-2/</t>
  </si>
  <si>
    <t>See https://userfiles.mailswitch.nl/c/4f297fc54dc1a9c7ba8aa72a219467b7/1284-758506239266985e8e4957b36facd0c2.pdf</t>
  </si>
  <si>
    <t>See https://www.fnv.nl/nieuwsbericht/algemeen-nieuws/2021/04/hof-start-hoger-beroep-deliveroo-toepassen-cao</t>
  </si>
  <si>
    <t>See https://www.cidj.com/metiers/coursier-coursiere</t>
  </si>
  <si>
    <t>See https://www.youtube.com/watch?v=A8jYYcTYZFI</t>
  </si>
  <si>
    <t>See https://wageindicator.org/labour-laws/collective-bargaining/2021/belgium-average-deliveroo-rider-earns-20ac9-20-per-hour-april-30-2021</t>
  </si>
  <si>
    <t>See https://orf.at/stories/3137503/ ; https://kontrast.at/foodora-betriebsrat-kollektivvertrag/</t>
  </si>
  <si>
    <t>7.2 ; 8.5</t>
  </si>
  <si>
    <t>2 - 20%</t>
  </si>
  <si>
    <t>See https://digitalpresent.tagesspiegel.de/deliveroo-kuerzt-uns-einfach-das-gehalt</t>
  </si>
  <si>
    <t>Occupation</t>
  </si>
  <si>
    <t>Architects</t>
  </si>
  <si>
    <t>See https://architectenweb.nl/nieuws/artikel.aspx?ID=46839 ; 150% of employee salary is a minimum</t>
  </si>
  <si>
    <t>1000 characters</t>
  </si>
  <si>
    <t>See https://www.mein-klagenfurt.at/mein-klagenfurt/das-freie-wort/journalismus-in-gefahr/</t>
  </si>
  <si>
    <t>See https://www.kollektivvertrag.at/kv/tageszeitungen-redakteure-u-reporter-ang/tageszeitungen-redakteure-u-reporter-gesamtvertrag-fuer-freie-journalistinnen-zusatz/4184546 ; https://www.quora.com/How-many-articles-does-an-average-journalist-write-per-month</t>
  </si>
  <si>
    <t>Nr farms</t>
  </si>
  <si>
    <t>Nr non subsistence farms</t>
  </si>
  <si>
    <t>Nr self-employed</t>
  </si>
  <si>
    <t>% non-farm owner</t>
  </si>
  <si>
    <t>Agriculture</t>
  </si>
  <si>
    <t>Trade</t>
  </si>
  <si>
    <t>Nr 1-person trade firms</t>
  </si>
  <si>
    <t>Total</t>
  </si>
  <si>
    <t>C = Non-farmers</t>
  </si>
  <si>
    <t>A</t>
  </si>
  <si>
    <t>D = Trade Total</t>
  </si>
  <si>
    <t>B = Agri Total</t>
  </si>
  <si>
    <t>E = Non-shop owners</t>
  </si>
  <si>
    <t>Accomm/food services</t>
  </si>
  <si>
    <t>G = Non-owners</t>
  </si>
  <si>
    <t>F = Total</t>
  </si>
  <si>
    <t>Adjusted Total</t>
  </si>
  <si>
    <t>H = A-B-D-F+C+E+G</t>
  </si>
  <si>
    <t>Average</t>
  </si>
  <si>
    <t>Nrs solo self-employed working for companies 50+ employees</t>
  </si>
  <si>
    <t>Nrs solo self-employed in other occupations</t>
  </si>
  <si>
    <t>Min</t>
  </si>
  <si>
    <t>Max</t>
  </si>
  <si>
    <t>Before agreement</t>
  </si>
  <si>
    <t>1-9 employees</t>
  </si>
  <si>
    <t>10-19 employees</t>
  </si>
  <si>
    <t xml:space="preserve">   1-19 employees</t>
  </si>
  <si>
    <t>Number of companies by size (2018)</t>
  </si>
  <si>
    <t>0-9 employees</t>
  </si>
  <si>
    <t>Firms by size class</t>
  </si>
  <si>
    <t>0-9</t>
  </si>
  <si>
    <t>10-19</t>
  </si>
  <si>
    <t>20-49</t>
  </si>
  <si>
    <t>Accommodation &amp; food services</t>
  </si>
  <si>
    <t>Owners</t>
  </si>
  <si>
    <t>Excluding Agri+Trade+Accomm &amp; food</t>
  </si>
  <si>
    <t>Nr companies</t>
  </si>
  <si>
    <t>Agri</t>
  </si>
  <si>
    <t>Agri 10+</t>
  </si>
  <si>
    <t>Trade 10+</t>
  </si>
  <si>
    <t>Acc+food</t>
  </si>
  <si>
    <t>Acc+food 10+</t>
  </si>
  <si>
    <t>Agriculture Sole holder directly employed by firm</t>
  </si>
  <si>
    <t>&lt; EUR 250,000</t>
  </si>
  <si>
    <t>EUR 250,000+</t>
  </si>
  <si>
    <t>Nr solo self-employed non-owners</t>
  </si>
  <si>
    <t xml:space="preserve">   10+ employees</t>
  </si>
  <si>
    <t>Hires by firm size</t>
  </si>
  <si>
    <t>Agri &lt;10</t>
  </si>
  <si>
    <t>Nr solo self-employed hired by 10+ firms</t>
  </si>
  <si>
    <t>Trade &lt; 10</t>
  </si>
  <si>
    <t>Acc food &lt; 10</t>
  </si>
  <si>
    <t>Acc food 10+</t>
  </si>
  <si>
    <t>Nr solo self-employed hired by 10- firms</t>
  </si>
  <si>
    <t>Nr solo self-employed excluding owners of farms, shops and restaurants, by number of employees of the hiring firm</t>
  </si>
  <si>
    <t>50-249</t>
  </si>
  <si>
    <t>250+</t>
  </si>
  <si>
    <t>Key source for number of solo self-employed: Eurostat Labour Force Survey</t>
  </si>
  <si>
    <t>Key source for data on number of businesses by firm size: Eurostat Structural Business Statistics</t>
  </si>
  <si>
    <t>Key source for number of hires by firm size: Ecorys (2010) "Labour hoarding door bedrijven", data Netherlands 2008-2010</t>
  </si>
  <si>
    <t>Note: no distinction is possible between solo self-employed who work exclusively for end consumers and others</t>
  </si>
  <si>
    <t>% covered by 10+ cut-off</t>
  </si>
  <si>
    <t>Supporting data: nr firms</t>
  </si>
  <si>
    <t>10+</t>
  </si>
  <si>
    <t>Supporting data: hires by firm size by year</t>
  </si>
  <si>
    <t>% 10+ firms</t>
  </si>
  <si>
    <t>Note on Eurostat Labour Force Survey: based on a question what people consider to be their main labour market status. From the COLLEEM studies, "false" self-employed tend to classify themselves as employees (or students)</t>
  </si>
  <si>
    <t>Note on Ecorys (2010) study: the data are specifically hires of solo self-employed (zzp'er in Dutch), but the hiring of seasonal workers (in agriculture, restaurants) without an employment contract is likely not included</t>
  </si>
  <si>
    <t>Nr firms excluding agri, trade, accomm+food</t>
  </si>
  <si>
    <t>Note on agriculture by firm size: firms with annual sales over EUR 250,000 are assumed to have 10+ workers, firms with less annual sales are assumed to have 0-9 workers</t>
  </si>
  <si>
    <t>Data on agriculture by number of workers is not available due to the highly seasonal character of work in this sector</t>
  </si>
  <si>
    <t>Source: Ecorys (2010) "Labour hoarding door bedrijven", data Netherlands 2008-2010</t>
  </si>
  <si>
    <t>Source: Eurostat Structural Business Statistics, various sub-data</t>
  </si>
  <si>
    <t>For agriculture, all hires by firms with 10+ workers are assumed to be hires by firms with 10-19 workers, but this concerns small numbers</t>
  </si>
  <si>
    <t>Weighted</t>
  </si>
  <si>
    <t>% main job platform workers</t>
  </si>
  <si>
    <t>% secondary job platform workers</t>
  </si>
  <si>
    <t>Avg. 2017-2018</t>
  </si>
  <si>
    <t>Platform workers as share of adult population</t>
  </si>
  <si>
    <t>Nrs platform workers 2018</t>
  </si>
  <si>
    <t>Main job platform workers</t>
  </si>
  <si>
    <t>Secondary job platform workers</t>
  </si>
  <si>
    <t>Source: COLLEEM (2017, 2018), linear extrapolation (2030)</t>
  </si>
  <si>
    <t>Adult population, age 18-74</t>
  </si>
  <si>
    <t>EU-level extrapolation</t>
  </si>
  <si>
    <t>% platform workers as main and secondary job as % adult population</t>
  </si>
  <si>
    <t>Main job</t>
  </si>
  <si>
    <t>Secondary job</t>
  </si>
  <si>
    <t>% Platform workers, weighted</t>
  </si>
  <si>
    <t>2017-2018</t>
  </si>
  <si>
    <t xml:space="preserve">Source: Eurostat Population Projections, PROJ_19NP </t>
  </si>
  <si>
    <t>Source: extrapolation of COLLEEM data</t>
  </si>
  <si>
    <t>Source: adult population 18-74 * weighted share of platform workers in the adult population (main jobs + 0.5 * secondary jobs)</t>
  </si>
  <si>
    <t xml:space="preserve">Check: </t>
  </si>
  <si>
    <t>TAW as % of employment</t>
  </si>
  <si>
    <t>--</t>
  </si>
  <si>
    <t>Nr platform workers (weighted, main jobs + 0.5 * secondary jobs)</t>
  </si>
  <si>
    <t>Used</t>
  </si>
  <si>
    <t>Note: "Used" means of which other country the percentage is used. For example for Austria (not in COLLEEM) the percentage of Germany (in COLLEEM) is used</t>
  </si>
  <si>
    <t>TAW Source: https://weceurope.org/uploads/2021/02/WEC-Economic-Report-2021.pdf</t>
  </si>
  <si>
    <t>TAW = Temporary Agency Workers</t>
  </si>
  <si>
    <t>Nr TAW</t>
  </si>
  <si>
    <t>Nr TAW placements</t>
  </si>
  <si>
    <t>Placements: number of times TAW are placed at a contractor in one year. This may concern different TAW, or the same TAW who are placed multiple times</t>
  </si>
  <si>
    <t>See https://www.researchgate.net/publication/340096676_The_Hilfr_agreement_Negotiating_the_platform_economy_in_Denmark/link/5e789e08a6fdcccd62192816/download</t>
  </si>
  <si>
    <t>Hilfr (cleaning)</t>
  </si>
  <si>
    <t>Foodora (deliveries)</t>
  </si>
  <si>
    <t>Couriers collective agreement (deliveries)</t>
  </si>
  <si>
    <t>Journalist</t>
  </si>
  <si>
    <t>normal line</t>
  </si>
  <si>
    <t>Normal line</t>
  </si>
  <si>
    <t>Comparison pay rate for a newspaper with over 100,000 copies sold, employee-like versus free journalists; https://www.djv.de/startseite/info/beruf-betrieb/uebersicht-tarife-honorare</t>
  </si>
  <si>
    <t>NL-2</t>
  </si>
  <si>
    <t>Restaurant personnel platform (Temper)</t>
  </si>
  <si>
    <t>Abolition of "usage fee" of EUR 1 per hour, for restaurant personnel that earn EUR 13-25 per hours</t>
  </si>
  <si>
    <t>Truck drivers</t>
  </si>
  <si>
    <t>See https://www.netpolska.com/prasa-transportowa/uklad-zbiorowy-dla-kierowcow-04-15.html</t>
  </si>
  <si>
    <t>See https://www.mijnzzp.nl/Beroep/100-Architect/Salaris-en-tarief ; https://fnvzzp.nl/nieuws/2019/11/voor-het-eerst-zzp-tarief-in-een-cao - argument was mainly that the minimum fee rate creates certainty : who earns less may be considered to be an employee</t>
  </si>
  <si>
    <t>NL2</t>
  </si>
  <si>
    <t>See https://www.fnv.nl/cao-sector/media-cultuur/audiovisueel/blijf-op-de-hoogte/minimumtarief-voor-zzp-ers-bij-de-publieke-omroep: also 150% of the wage of a similar employee</t>
  </si>
  <si>
    <t>Nr solo self-employed excluding owners of farms, shops and restaurants, by number of employees of the hiring firm, rescaled to total number</t>
  </si>
  <si>
    <t>Excluding platform workers</t>
  </si>
  <si>
    <t>Including platform workers</t>
  </si>
  <si>
    <t>Solo self-employed in the occupational category of professionals, excluding platform workers</t>
  </si>
  <si>
    <t>Platform workers in the occupational category of professionals</t>
  </si>
  <si>
    <t>Solo self-employed affected in option 3 (both platform workers and those not working through platforms)</t>
  </si>
  <si>
    <t>Option 2</t>
  </si>
  <si>
    <t>Option 3</t>
  </si>
  <si>
    <t>Option 4</t>
  </si>
  <si>
    <t>Solo self-employed not working through platforms who may already bargain collectively, by policy option (2019)</t>
  </si>
  <si>
    <t>As % including platform workers</t>
  </si>
  <si>
    <t>MS</t>
  </si>
  <si>
    <t>Extension of collective agreements</t>
  </si>
  <si>
    <t>Union density (as % of wage earners)</t>
  </si>
  <si>
    <t>Assumed to be covered</t>
  </si>
  <si>
    <t>Adjusted employee coverage</t>
  </si>
  <si>
    <t>Platform work</t>
  </si>
  <si>
    <t>Professionals</t>
  </si>
  <si>
    <t>Working for firms with 100+ employees</t>
  </si>
  <si>
    <t>% of self-employed who respond they would not like to be covered by a collective agreement</t>
  </si>
  <si>
    <t>% of self-employed who disagree or totally disagree that collective action would improve working conditions</t>
  </si>
  <si>
    <t>Assumed similar MS</t>
  </si>
  <si>
    <t>% of self-employed who would like to be covered by a collective agreement or don't know</t>
  </si>
  <si>
    <t>% of self-employed who agree or totally agreed that collective action would improve working conditions, or don't know</t>
  </si>
  <si>
    <t>Option 1</t>
  </si>
  <si>
    <t>Potentially affected</t>
  </si>
  <si>
    <t>Not already allowed</t>
  </si>
  <si>
    <t>EU overview (in millions)</t>
  </si>
  <si>
    <t>Hour + delivery</t>
  </si>
  <si>
    <r>
      <rPr>
        <b/>
        <sz val="10"/>
        <color theme="0"/>
        <rFont val="Calibri"/>
        <family val="2"/>
      </rPr>
      <t>Δ</t>
    </r>
    <r>
      <rPr>
        <b/>
        <sz val="10"/>
        <color theme="0"/>
        <rFont val="Arial"/>
        <family val="2"/>
      </rPr>
      <t xml:space="preserve"> price option 1</t>
    </r>
  </si>
  <si>
    <r>
      <rPr>
        <b/>
        <sz val="10"/>
        <color theme="0"/>
        <rFont val="Calibri"/>
        <family val="2"/>
      </rPr>
      <t>Δ</t>
    </r>
    <r>
      <rPr>
        <b/>
        <sz val="10"/>
        <color theme="0"/>
        <rFont val="Arial"/>
        <family val="2"/>
      </rPr>
      <t xml:space="preserve"> price option 2</t>
    </r>
  </si>
  <si>
    <r>
      <rPr>
        <b/>
        <sz val="10"/>
        <color theme="0"/>
        <rFont val="Calibri"/>
        <family val="2"/>
      </rPr>
      <t>Δ</t>
    </r>
    <r>
      <rPr>
        <b/>
        <sz val="10"/>
        <color theme="0"/>
        <rFont val="Arial"/>
        <family val="2"/>
      </rPr>
      <t xml:space="preserve"> price option 3</t>
    </r>
  </si>
  <si>
    <r>
      <rPr>
        <b/>
        <sz val="10"/>
        <color theme="0"/>
        <rFont val="Calibri"/>
        <family val="2"/>
      </rPr>
      <t>Δ</t>
    </r>
    <r>
      <rPr>
        <b/>
        <sz val="10"/>
        <color theme="0"/>
        <rFont val="Arial"/>
        <family val="2"/>
      </rPr>
      <t xml:space="preserve"> price option 4</t>
    </r>
  </si>
  <si>
    <t>% lifted out of poverty</t>
  </si>
  <si>
    <t>Avg hh size</t>
  </si>
  <si>
    <t>EL</t>
  </si>
  <si>
    <t>EU-SILC results, all solo self-employed</t>
  </si>
  <si>
    <t>Current poverty rate</t>
  </si>
  <si>
    <t>Poverty rate after hypothetical 40% increase of income from self-employment</t>
  </si>
  <si>
    <t>Household 1</t>
  </si>
  <si>
    <t>Father, 50, self-employed</t>
  </si>
  <si>
    <t>Mother, 50, employee</t>
  </si>
  <si>
    <t>Son, 20, student</t>
  </si>
  <si>
    <t>Daughter, 18, student</t>
  </si>
  <si>
    <t>Household total</t>
  </si>
  <si>
    <t>Ex post income</t>
  </si>
  <si>
    <t>Ex post equivalised income</t>
  </si>
  <si>
    <t>Household 2</t>
  </si>
  <si>
    <t>GDP (EUR bln)</t>
  </si>
  <si>
    <t>At risk of poverty</t>
  </si>
  <si>
    <t>Ex ante poverty rate</t>
  </si>
  <si>
    <t>Lifted out of poverty</t>
  </si>
  <si>
    <t>Ex post poverty rate</t>
  </si>
  <si>
    <t>EU profs</t>
  </si>
  <si>
    <t>EU total (policy option 4)</t>
  </si>
  <si>
    <t>EU non-profs (policy option 3)</t>
  </si>
  <si>
    <t>B</t>
  </si>
  <si>
    <t>C</t>
  </si>
  <si>
    <t>D = B x C</t>
  </si>
  <si>
    <t>E</t>
  </si>
  <si>
    <t>F = (D + E)/A</t>
  </si>
  <si>
    <t>Total income increase (EUR mln)</t>
  </si>
  <si>
    <t>Tax revenue increase (EUR mln)</t>
  </si>
  <si>
    <t>Saved benefits (EUR mln)</t>
  </si>
  <si>
    <t>Estimated impact on state budget as % GDP</t>
  </si>
  <si>
    <t>N.A.</t>
  </si>
  <si>
    <t>Taken from: W:\NL5000 Economic growth\Projecten\2 - Ongoing projects\1001314 Collective bargaining of selfemployed\04. Implementation\Task 2\Forecasts\Platform work</t>
  </si>
  <si>
    <t>Nr solo self-employed 18-74, 2019</t>
  </si>
  <si>
    <t>Baseline numbers, 2030</t>
  </si>
  <si>
    <t>Source cell M12: 'W:\NL5000 Economic growth\Projecten\2 - Ongoing projects\1001314 Collective bargaining of selfemployed\04. Implementation\Microdata\Excel outputs\[EU-SILC_incomesim_prof.xls]incomesim_prof'!$C$31</t>
  </si>
  <si>
    <t>Source cell M14: 'W:\NL5000 Economic growth\Projecten\2 - Ongoing projects\1001314 Collective bargaining of selfemployed\04. Implementation\Microdata\Excel outputs\[EU-SILC_incomesim.xls]incomesim'!$C$31</t>
  </si>
  <si>
    <t>Equivaliser</t>
  </si>
  <si>
    <t>Initital income</t>
  </si>
  <si>
    <t>(Single-person) poverty threshold</t>
  </si>
  <si>
    <t>Persons lifted out of poverty</t>
  </si>
  <si>
    <t>Nr beneficiaries</t>
  </si>
  <si>
    <t>Average simulated benefit after 40% pay rate increase</t>
  </si>
  <si>
    <t>Total savings (x EUR mln)</t>
  </si>
  <si>
    <t>Average benefit per person</t>
  </si>
  <si>
    <t>Average savings per person</t>
  </si>
  <si>
    <t>Nr solo self-employed receiving social assistance</t>
  </si>
  <si>
    <r>
      <t xml:space="preserve">Nr solo self-employed hires by size of hiring company </t>
    </r>
    <r>
      <rPr>
        <sz val="8"/>
        <color rgb="FFFF0000"/>
        <rFont val="Arial"/>
        <family val="2"/>
      </rPr>
      <t>before excluding farmers etc.</t>
    </r>
  </si>
  <si>
    <r>
      <t>Nr solo self-employed hired by size of hiring company, v0</t>
    </r>
    <r>
      <rPr>
        <sz val="8"/>
        <color rgb="FFFF0000"/>
        <rFont val="Arial"/>
        <family val="2"/>
      </rPr>
      <t xml:space="preserve"> (before exlcuding farmers etc.)</t>
    </r>
  </si>
  <si>
    <t>NOTE: THE FIGURES IN THIS TABLE AND FURTHER TABLES TO THE RIGHT ARE USED IN [Option 2, Step 1] COLUMN AD:AI</t>
  </si>
  <si>
    <t>Step 3: in addition would be covered if collective bargaining is allowed</t>
  </si>
  <si>
    <t>Step 4: in addition would like to be covered by a collective agreement</t>
  </si>
  <si>
    <t>In addition covered if allowed</t>
  </si>
  <si>
    <t>In addition wants to be covered</t>
  </si>
  <si>
    <t>All platform workers and solo self-employed</t>
  </si>
  <si>
    <t>* In Germany the threshold for economic dependency is lower for journalists than for solo self-employed in other professions</t>
  </si>
  <si>
    <t>Freelance journalists*</t>
  </si>
  <si>
    <t>* Home workers in Austria and Germany are considered out of scope because (on a commission basis) they mostly sell their craft work</t>
  </si>
  <si>
    <t>+15% pay increase</t>
  </si>
  <si>
    <t xml:space="preserve">Option 3 </t>
  </si>
  <si>
    <t>Aggregate pay increase x EUR mln (numbers 2030)</t>
  </si>
  <si>
    <t>EU**</t>
  </si>
  <si>
    <t>EU** alternative calculation weighting with GDP instead of employment</t>
  </si>
  <si>
    <t>Nr solo self-empl. + platform workers 2030</t>
  </si>
  <si>
    <t>EU: weighted with nr solo self-employed + platform workers 2030</t>
  </si>
  <si>
    <t>Not in ISCO group of professionals</t>
  </si>
  <si>
    <t>5b</t>
  </si>
  <si>
    <t>Economically dependent, transport platform workers</t>
  </si>
  <si>
    <t>Side-by-side, low incomes</t>
  </si>
  <si>
    <t>% who may already bargain collectively as % including platform workers</t>
  </si>
  <si>
    <t>Platform workers and solo self-employed working for customers with 10 or more employees</t>
  </si>
  <si>
    <t>Solo self-employed working for customers with 10 or more employees, excluding platform workers</t>
  </si>
  <si>
    <t>Step 2</t>
  </si>
  <si>
    <t>Step 3</t>
  </si>
  <si>
    <t>Step 4</t>
  </si>
  <si>
    <t>Working for firms with &lt; 100 employees</t>
  </si>
  <si>
    <t>4b</t>
  </si>
  <si>
    <t>MS used</t>
  </si>
  <si>
    <t>Year 2030, calibrated to LFS (option 4)</t>
  </si>
  <si>
    <t>Combined central + subcentral income tax rate at 100% average wage</t>
  </si>
  <si>
    <t>Source PwC: https://taxsummaries.pwc.com/malta/individual/other-taxes</t>
  </si>
  <si>
    <t>Source OECD: Table I.5 in https://stats.oecd.org/index.aspx?DataSetCode=CTS_ETR ; scroll up to "Tax Database" in the menu and select Table I.5</t>
  </si>
  <si>
    <t>Note: employee and employer social security contributions are not included because self-employed often pay less social security contributions, and those that they pay are assumed to be paid out in benefits (disability, pensions)</t>
  </si>
  <si>
    <t>Group of self-employed</t>
  </si>
  <si>
    <t>Note architects NL: collective agreement states 150% of the wage of a similarly quality employee who self-employed are working side-by-side with</t>
  </si>
  <si>
    <t>% who may not already bargain collectively</t>
  </si>
  <si>
    <t>TABLE THAT IS USED IN REPORT</t>
  </si>
  <si>
    <t>Per month</t>
  </si>
  <si>
    <t>Per year</t>
  </si>
  <si>
    <t>National min. wage (2021), converted to euros</t>
  </si>
  <si>
    <t>GDP (2020, EUR bln)</t>
  </si>
  <si>
    <t>Platform workers ; Tourist guides, technicians in cinemas and broadcasting</t>
  </si>
  <si>
    <t>1. Chilling effect variant (Step 1)</t>
  </si>
  <si>
    <t>2. National enforcement variant (Step 2)</t>
  </si>
  <si>
    <t>1. Chilling effect variant</t>
  </si>
  <si>
    <t>2. National enforcement variant</t>
  </si>
  <si>
    <t>Step 2, national enforcement variant</t>
  </si>
  <si>
    <t>National enforcement variant</t>
  </si>
  <si>
    <t>Chilling effect variant</t>
  </si>
  <si>
    <t>National non-enforcement variant</t>
  </si>
  <si>
    <t>Source: Eurostat</t>
  </si>
  <si>
    <t>Assumed % self-employed covered if allowed to bargain collectively</t>
  </si>
  <si>
    <t>Redaktion und Journalismus</t>
  </si>
  <si>
    <t>Kunsthandwerk und bildende Kunst</t>
  </si>
  <si>
    <t>Kunsthandwerkliche Keramik- und Glasgestaltung</t>
  </si>
  <si>
    <t>Musik-, Gesangs- und Dirigententätigkeiten</t>
  </si>
  <si>
    <t>Kunsthandwerkliche Metallgestaltung</t>
  </si>
  <si>
    <t>Musikinstrumentenbau</t>
  </si>
  <si>
    <t>Schauspiel, Tanz und Bewegungskunst</t>
  </si>
  <si>
    <t>Moderation und Unterhaltung</t>
  </si>
  <si>
    <t>Theater-, Film- und Fernsehproduktion</t>
  </si>
  <si>
    <t>Veranstaltungs-, Kamera- und Tontechnik</t>
  </si>
  <si>
    <t>Bühnen- und Kostümbildnerei, Requisite</t>
  </si>
  <si>
    <t>Museumstechnik und -management</t>
  </si>
  <si>
    <t>Insgesamt</t>
  </si>
  <si>
    <t>Technische Mediengestaltung</t>
  </si>
  <si>
    <t>Fototechnik und Fotografie</t>
  </si>
  <si>
    <t>Buch-, Kunst-, Antiquitäten- und Musikfachhandel</t>
  </si>
  <si>
    <t>Veranstaltungsservice und -management</t>
  </si>
  <si>
    <t>Medien-, Dokumentations- und Informationsdienste</t>
  </si>
  <si>
    <t>Lehrtätigkeiten an außerschulischen Bildungseinrichtungen</t>
  </si>
  <si>
    <t>Geisteswissenschaften</t>
  </si>
  <si>
    <t>Verlags- und Medienwirtschaft</t>
  </si>
  <si>
    <t>Produkt- und Industriedesign</t>
  </si>
  <si>
    <t>Innenarchitektur, visuelles Marketing, Raumausstattung</t>
  </si>
  <si>
    <t>Summe</t>
  </si>
  <si>
    <t>Artist?</t>
  </si>
  <si>
    <t>Includes e.g. jewellery</t>
  </si>
  <si>
    <t>Comment</t>
  </si>
  <si>
    <t>Freelancers in culture professions in Germany</t>
  </si>
  <si>
    <t>Includes web designers</t>
  </si>
  <si>
    <t>Economically dependent + freelance journalists and artists*</t>
  </si>
  <si>
    <t>Source: https://www.djv.de/startseite/info/themen-wissen/aus-und-weiterbildung/arbeitsmarkt-und-berufschancen</t>
  </si>
  <si>
    <t>Source: https://www.destatis.de/DE/Presse/Pressemitteilungen/2020/04/PD20_145_216.html</t>
  </si>
  <si>
    <t>Source: https://www.derstandard.at/story/2000113826144/oesterreichs-redaktionen-schrumpfen ; http://www.mhw.at/cgi-bin/file.pl?id=490</t>
  </si>
  <si>
    <t>Source: https://europeanjournalists.org/blog/2019/02/08/uk-and-france-freelance-journalists-stand-up-for-their-rights-to-fairer-better-and-faster-pay/</t>
  </si>
  <si>
    <t>Journalists are a separate category, one source mentions 13,000 freelance journalists in Germany and another 26,000</t>
  </si>
  <si>
    <t>"hauptberuflich", Source: https://journalistik.online/ausgabe-012018/die-zukunft-ist-frei/ ; https://www.tagesspiegel.de/gesellschaft/medien/studie-zu-freien-journalisten-prekaere-lage/21057764.html</t>
  </si>
  <si>
    <t>Austria, freelance journalists</t>
  </si>
  <si>
    <t>Germany, freelance journalists</t>
  </si>
  <si>
    <t>Germany (2), freelance main-occupation journalists</t>
  </si>
  <si>
    <t>France, accredited freelance journalists</t>
  </si>
  <si>
    <t>Greece, freelance tourist guides</t>
  </si>
  <si>
    <t>Sources: 87% of tourist guides are self-employed, see https://www.feg-touristguides.com/post.php?i=covid-19-pandemic-and-next-steps-in-tourism-the-tourist-guides-perspective
In 2014 there were approximately 2,000 people registered as tour guide: https://100r.org/2014/02/greece-downgrades-training-of-its-famed-tour-guides/</t>
  </si>
  <si>
    <t>Ireland, estimated as 15% of total number of journalists</t>
  </si>
  <si>
    <t xml:space="preserve">Source total number journalists (2016) https://osf.io/g8hrx/?action=download&amp;version=1 ; (2005): https://gradireland.com/sites/gradireland.com/files/public/SCG_media.pdf ; </t>
  </si>
  <si>
    <t>Ireland, jobs for freelance journalists at LinkedIn</t>
  </si>
  <si>
    <t>Ireland, LinkedIn voice acting jobs</t>
  </si>
  <si>
    <t>Ireland, LinkedIn music jobs</t>
  </si>
  <si>
    <t>Source: https://ie.linkedin.com/jobs/music-jobs (23 September 2021)</t>
  </si>
  <si>
    <t>Source: https://ie.linkedin.com/jobs/voice-acting-jobs (23 September 2021)</t>
  </si>
  <si>
    <t>Ireland, list of journalists</t>
  </si>
  <si>
    <t xml:space="preserve">Source: https://ie.linkedin.com/jobs/freelance-journalist-jobs (23 September 2021); </t>
  </si>
  <si>
    <t>Source: https://www.localbusinesspages.ie/categories/journalists.aspx</t>
  </si>
  <si>
    <t>Ireland, list of voice-over actors</t>
  </si>
  <si>
    <t>Source: http://iftn.ie/actors/actors_database/sublinks_static/voice_over_artists/</t>
  </si>
  <si>
    <t>Ireland, estimated covered</t>
  </si>
  <si>
    <t>Source: Labour Force Survey 2018, includes 3321 Insurance representatives, 3322 Commercial sales representatives, 3323 Buyers, 3324 Trade brokers</t>
  </si>
  <si>
    <t>France, solo self-employed sales and purchasing agents and brokers (ISCO 332)</t>
  </si>
  <si>
    <t>France, creative and performing artists (ISCO 265)</t>
  </si>
  <si>
    <t>Delivery and transport platform workers; (accredited) journalists, performing artists and sales representatives</t>
  </si>
  <si>
    <t>Average annual income</t>
  </si>
  <si>
    <t>Expected price changes</t>
  </si>
  <si>
    <t>Co-co-co contracts ; co-co-co contract assumption for platform riders</t>
  </si>
  <si>
    <t>Platform riders ; Economically dependent</t>
  </si>
  <si>
    <t>Voice-over actors, freelance journalists, session musicians</t>
  </si>
  <si>
    <t>Total % of those allowed to bargain collectively under the policy option that are also currently allowed by national authorities</t>
  </si>
  <si>
    <t>% of total currently allowed to bargain collectively by national authorities but who would remain uncertain under the policy option</t>
  </si>
  <si>
    <t>Currently allowed in national enforcement variant but remain uncertain</t>
  </si>
  <si>
    <t>Annex 8 - Calculation Tables for Impact Assessment</t>
  </si>
  <si>
    <t>Catalogue number: KD-09-22-534-EN-N</t>
  </si>
  <si>
    <t>ISBN : 978-92-76-57000-4</t>
  </si>
  <si>
    <t>DOI : 10.2763/50160</t>
  </si>
  <si>
    <t>Study to support the impact assessment of a possible EU initiative to the application of competition rules to collective bargaining by self-employed (COMP/2020/008) 
Final Report
13 October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</si>
</sst>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%"/>
    <numFmt numFmtId="166" formatCode="#,##0.0"/>
  </numFmts>
  <fonts count="2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8"/>
      <color theme="0"/>
      <name val="Arial"/>
      <family val="2"/>
    </font>
    <font>
      <sz val="8"/>
      <color theme="1"/>
      <name val="Arial"/>
      <family val="2"/>
    </font>
    <font>
      <sz val="8"/>
      <color theme="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8"/>
      <color rgb="FFFF0000"/>
      <name val="Arial"/>
      <family val="2"/>
    </font>
    <font>
      <i/>
      <sz val="8"/>
      <color rgb="FFFF0000"/>
      <name val="Arial"/>
      <family val="2"/>
    </font>
    <font>
      <sz val="8"/>
      <color indexed="8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i/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10"/>
      <color theme="0"/>
      <name val="Calibri"/>
      <family val="2"/>
    </font>
    <font>
      <b/>
      <sz val="10"/>
      <name val="Arial"/>
      <family val="2"/>
    </font>
    <font>
      <b/>
      <sz val="8"/>
      <color rgb="FFFF0000"/>
      <name val="Arial"/>
      <family val="2"/>
    </font>
    <font>
      <b/>
      <sz val="15"/>
      <color theme="3"/>
      <name val="Calibri"/>
      <family val="2"/>
      <scheme val="minor"/>
    </font>
    <font>
      <b/>
      <i/>
      <sz val="11"/>
      <color rgb="FFD288C3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/>
      <right/>
      <top/>
      <bottom style="thick">
        <color theme="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0" fontId="20" fillId="0" borderId="11" applyNumberFormat="0" applyFill="0" applyAlignment="0" applyProtection="0"/>
  </cellStyleXfs>
  <cellXfs count="210">
    <xf numFmtId="0" fontId="0" fillId="0" borderId="0" xfId="0"/>
    <xf numFmtId="0" fontId="3" fillId="3" borderId="0" xfId="0" applyFont="1" applyFill="1"/>
    <xf numFmtId="0" fontId="4" fillId="0" borderId="0" xfId="0" applyFont="1"/>
    <xf numFmtId="0" fontId="3" fillId="3" borderId="0" xfId="0" applyFont="1" applyFill="1" applyAlignment="1">
      <alignment vertical="top"/>
    </xf>
    <xf numFmtId="0" fontId="4" fillId="0" borderId="0" xfId="0" applyFont="1" applyAlignment="1">
      <alignment vertical="top"/>
    </xf>
    <xf numFmtId="0" fontId="3" fillId="3" borderId="0" xfId="0" applyFont="1" applyFill="1" applyAlignment="1">
      <alignment vertical="top" wrapText="1"/>
    </xf>
    <xf numFmtId="3" fontId="4" fillId="0" borderId="0" xfId="0" applyNumberFormat="1" applyFont="1"/>
    <xf numFmtId="9" fontId="4" fillId="0" borderId="0" xfId="0" applyNumberFormat="1" applyFont="1"/>
    <xf numFmtId="9" fontId="4" fillId="4" borderId="0" xfId="0" applyNumberFormat="1" applyFont="1" applyFill="1"/>
    <xf numFmtId="0" fontId="5" fillId="5" borderId="0" xfId="0" applyFont="1" applyFill="1"/>
    <xf numFmtId="9" fontId="4" fillId="2" borderId="0" xfId="0" applyNumberFormat="1" applyFont="1" applyFill="1"/>
    <xf numFmtId="0" fontId="6" fillId="0" borderId="0" xfId="0" applyFont="1" applyFill="1"/>
    <xf numFmtId="2" fontId="4" fillId="0" borderId="0" xfId="0" applyNumberFormat="1" applyFont="1"/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9" fontId="4" fillId="0" borderId="0" xfId="1" applyFont="1"/>
    <xf numFmtId="3" fontId="8" fillId="0" borderId="0" xfId="0" applyNumberFormat="1" applyFont="1"/>
    <xf numFmtId="0" fontId="4" fillId="4" borderId="0" xfId="0" applyFont="1" applyFill="1"/>
    <xf numFmtId="3" fontId="4" fillId="4" borderId="0" xfId="0" applyNumberFormat="1" applyFont="1" applyFill="1"/>
    <xf numFmtId="0" fontId="8" fillId="0" borderId="0" xfId="0" applyFont="1" applyAlignment="1">
      <alignment horizontal="left" vertical="top"/>
    </xf>
    <xf numFmtId="0" fontId="4" fillId="0" borderId="0" xfId="0" applyFont="1" applyAlignment="1">
      <alignment horizontal="right"/>
    </xf>
    <xf numFmtId="0" fontId="3" fillId="3" borderId="1" xfId="0" applyFont="1" applyFill="1" applyBorder="1"/>
    <xf numFmtId="0" fontId="4" fillId="0" borderId="1" xfId="0" applyFont="1" applyBorder="1"/>
    <xf numFmtId="164" fontId="4" fillId="0" borderId="0" xfId="0" applyNumberFormat="1" applyFont="1"/>
    <xf numFmtId="164" fontId="4" fillId="0" borderId="0" xfId="0" applyNumberFormat="1" applyFont="1" applyAlignment="1">
      <alignment horizontal="right"/>
    </xf>
    <xf numFmtId="9" fontId="4" fillId="0" borderId="0" xfId="1" applyFont="1" applyAlignment="1">
      <alignment horizontal="right"/>
    </xf>
    <xf numFmtId="3" fontId="4" fillId="2" borderId="0" xfId="0" applyNumberFormat="1" applyFont="1" applyFill="1"/>
    <xf numFmtId="9" fontId="4" fillId="6" borderId="0" xfId="1" applyFont="1" applyFill="1"/>
    <xf numFmtId="0" fontId="5" fillId="3" borderId="0" xfId="0" applyFont="1" applyFill="1"/>
    <xf numFmtId="0" fontId="4" fillId="0" borderId="0" xfId="0" applyFont="1" applyFill="1"/>
    <xf numFmtId="0" fontId="5" fillId="0" borderId="0" xfId="0" applyFont="1" applyFill="1"/>
    <xf numFmtId="9" fontId="4" fillId="0" borderId="0" xfId="1" applyFont="1" applyFill="1"/>
    <xf numFmtId="0" fontId="8" fillId="0" borderId="0" xfId="0" applyFont="1"/>
    <xf numFmtId="0" fontId="3" fillId="3" borderId="0" xfId="0" applyFont="1" applyFill="1" applyAlignment="1">
      <alignment horizontal="right" vertical="top"/>
    </xf>
    <xf numFmtId="0" fontId="3" fillId="3" borderId="0" xfId="0" applyFont="1" applyFill="1" applyAlignment="1">
      <alignment horizontal="right"/>
    </xf>
    <xf numFmtId="0" fontId="4" fillId="0" borderId="0" xfId="0" applyFont="1" applyBorder="1"/>
    <xf numFmtId="3" fontId="9" fillId="0" borderId="0" xfId="0" applyNumberFormat="1" applyFont="1"/>
    <xf numFmtId="3" fontId="4" fillId="0" borderId="2" xfId="0" applyNumberFormat="1" applyFont="1" applyBorder="1"/>
    <xf numFmtId="0" fontId="5" fillId="3" borderId="0" xfId="0" applyFont="1" applyFill="1" applyAlignment="1">
      <alignment horizontal="right" vertical="top" wrapText="1"/>
    </xf>
    <xf numFmtId="0" fontId="3" fillId="3" borderId="0" xfId="0" applyFont="1" applyFill="1" applyAlignment="1">
      <alignment horizontal="right" vertical="top" wrapText="1"/>
    </xf>
    <xf numFmtId="3" fontId="10" fillId="0" borderId="0" xfId="0" applyNumberFormat="1" applyFont="1"/>
    <xf numFmtId="0" fontId="3" fillId="0" borderId="0" xfId="0" applyFont="1" applyFill="1" applyAlignment="1">
      <alignment vertical="top"/>
    </xf>
    <xf numFmtId="164" fontId="4" fillId="0" borderId="0" xfId="0" quotePrefix="1" applyNumberFormat="1" applyFont="1" applyAlignment="1">
      <alignment horizontal="right"/>
    </xf>
    <xf numFmtId="0" fontId="11" fillId="0" borderId="0" xfId="0" applyFont="1"/>
    <xf numFmtId="0" fontId="12" fillId="3" borderId="0" xfId="0" applyFont="1" applyFill="1" applyAlignment="1">
      <alignment vertical="top"/>
    </xf>
    <xf numFmtId="0" fontId="12" fillId="3" borderId="0" xfId="0" applyFont="1" applyFill="1"/>
    <xf numFmtId="3" fontId="11" fillId="0" borderId="0" xfId="0" applyNumberFormat="1" applyFont="1"/>
    <xf numFmtId="0" fontId="11" fillId="0" borderId="0" xfId="0" applyFont="1" applyFill="1"/>
    <xf numFmtId="0" fontId="12" fillId="3" borderId="0" xfId="0" applyFont="1" applyFill="1" applyAlignment="1">
      <alignment horizontal="right"/>
    </xf>
    <xf numFmtId="0" fontId="12" fillId="3" borderId="0" xfId="0" quotePrefix="1" applyFont="1" applyFill="1" applyAlignment="1">
      <alignment horizontal="right"/>
    </xf>
    <xf numFmtId="0" fontId="12" fillId="3" borderId="0" xfId="0" applyFont="1" applyFill="1" applyAlignment="1">
      <alignment horizontal="right" wrapText="1"/>
    </xf>
    <xf numFmtId="0" fontId="12" fillId="0" borderId="0" xfId="0" applyFont="1" applyFill="1" applyAlignment="1">
      <alignment horizontal="right" wrapText="1"/>
    </xf>
    <xf numFmtId="9" fontId="11" fillId="0" borderId="0" xfId="1" applyFont="1"/>
    <xf numFmtId="9" fontId="11" fillId="0" borderId="0" xfId="1" applyFont="1" applyFill="1"/>
    <xf numFmtId="0" fontId="13" fillId="3" borderId="0" xfId="0" applyFont="1" applyFill="1" applyAlignment="1">
      <alignment horizontal="left" vertical="top"/>
    </xf>
    <xf numFmtId="0" fontId="11" fillId="4" borderId="0" xfId="0" applyFont="1" applyFill="1"/>
    <xf numFmtId="2" fontId="11" fillId="4" borderId="0" xfId="0" applyNumberFormat="1" applyFont="1" applyFill="1"/>
    <xf numFmtId="2" fontId="11" fillId="0" borderId="0" xfId="0" applyNumberFormat="1" applyFont="1"/>
    <xf numFmtId="0" fontId="14" fillId="0" borderId="0" xfId="0" applyFont="1"/>
    <xf numFmtId="0" fontId="12" fillId="3" borderId="0" xfId="0" applyFont="1" applyFill="1" applyAlignment="1">
      <alignment vertical="top" wrapText="1"/>
    </xf>
    <xf numFmtId="0" fontId="11" fillId="0" borderId="0" xfId="0" applyFont="1" applyAlignment="1">
      <alignment vertical="top"/>
    </xf>
    <xf numFmtId="3" fontId="11" fillId="0" borderId="0" xfId="0" applyNumberFormat="1" applyFont="1" applyAlignment="1">
      <alignment vertical="top"/>
    </xf>
    <xf numFmtId="3" fontId="11" fillId="0" borderId="0" xfId="0" applyNumberFormat="1" applyFont="1" applyAlignment="1">
      <alignment vertical="top" wrapText="1"/>
    </xf>
    <xf numFmtId="0" fontId="12" fillId="3" borderId="0" xfId="0" applyFont="1" applyFill="1" applyAlignment="1">
      <alignment horizontal="right" vertical="top" wrapText="1"/>
    </xf>
    <xf numFmtId="3" fontId="16" fillId="0" borderId="0" xfId="0" applyNumberFormat="1" applyFont="1" applyAlignment="1">
      <alignment vertical="top"/>
    </xf>
    <xf numFmtId="165" fontId="11" fillId="0" borderId="0" xfId="1" applyNumberFormat="1" applyFont="1" applyAlignment="1">
      <alignment vertical="top"/>
    </xf>
    <xf numFmtId="164" fontId="11" fillId="0" borderId="0" xfId="0" applyNumberFormat="1" applyFont="1"/>
    <xf numFmtId="1" fontId="11" fillId="0" borderId="0" xfId="0" applyNumberFormat="1" applyFont="1"/>
    <xf numFmtId="0" fontId="12" fillId="3" borderId="0" xfId="0" applyFont="1" applyFill="1" applyAlignment="1">
      <alignment horizontal="right" vertical="top"/>
    </xf>
    <xf numFmtId="165" fontId="11" fillId="0" borderId="0" xfId="0" applyNumberFormat="1" applyFont="1"/>
    <xf numFmtId="9" fontId="11" fillId="0" borderId="0" xfId="0" applyNumberFormat="1" applyFont="1"/>
    <xf numFmtId="165" fontId="11" fillId="0" borderId="0" xfId="1" applyNumberFormat="1" applyFont="1"/>
    <xf numFmtId="165" fontId="11" fillId="2" borderId="0" xfId="1" applyNumberFormat="1" applyFont="1" applyFill="1"/>
    <xf numFmtId="165" fontId="11" fillId="0" borderId="0" xfId="0" applyNumberFormat="1" applyFont="1" applyAlignment="1">
      <alignment wrapText="1"/>
    </xf>
    <xf numFmtId="0" fontId="12" fillId="3" borderId="0" xfId="0" applyFont="1" applyFill="1" applyAlignment="1">
      <alignment horizontal="left" vertical="top" wrapText="1"/>
    </xf>
    <xf numFmtId="0" fontId="12" fillId="3" borderId="1" xfId="0" applyFont="1" applyFill="1" applyBorder="1" applyAlignment="1">
      <alignment horizontal="right" vertical="top"/>
    </xf>
    <xf numFmtId="0" fontId="12" fillId="3" borderId="0" xfId="0" applyFont="1" applyFill="1" applyBorder="1" applyAlignment="1">
      <alignment horizontal="right" vertical="top"/>
    </xf>
    <xf numFmtId="0" fontId="12" fillId="3" borderId="0" xfId="0" applyFont="1" applyFill="1" applyBorder="1" applyAlignment="1">
      <alignment horizontal="right" vertical="top" wrapText="1"/>
    </xf>
    <xf numFmtId="0" fontId="12" fillId="3" borderId="2" xfId="0" applyFont="1" applyFill="1" applyBorder="1" applyAlignment="1">
      <alignment horizontal="right" vertical="top" wrapText="1"/>
    </xf>
    <xf numFmtId="0" fontId="12" fillId="3" borderId="1" xfId="0" applyFont="1" applyFill="1" applyBorder="1" applyAlignment="1">
      <alignment horizontal="left" vertical="top"/>
    </xf>
    <xf numFmtId="166" fontId="11" fillId="0" borderId="0" xfId="0" applyNumberFormat="1" applyFont="1"/>
    <xf numFmtId="0" fontId="11" fillId="0" borderId="0" xfId="0" applyFont="1" applyAlignment="1">
      <alignment horizontal="right"/>
    </xf>
    <xf numFmtId="9" fontId="11" fillId="0" borderId="0" xfId="1" applyFont="1" applyAlignment="1">
      <alignment horizontal="right"/>
    </xf>
    <xf numFmtId="164" fontId="11" fillId="0" borderId="0" xfId="0" applyNumberFormat="1" applyFont="1" applyAlignment="1">
      <alignment horizontal="right"/>
    </xf>
    <xf numFmtId="10" fontId="11" fillId="0" borderId="0" xfId="1" applyNumberFormat="1" applyFont="1"/>
    <xf numFmtId="3" fontId="11" fillId="0" borderId="0" xfId="1" applyNumberFormat="1" applyFont="1"/>
    <xf numFmtId="0" fontId="11" fillId="0" borderId="0" xfId="0" applyFont="1" applyAlignment="1">
      <alignment horizontal="center" vertical="top"/>
    </xf>
    <xf numFmtId="1" fontId="11" fillId="0" borderId="0" xfId="0" applyNumberFormat="1" applyFont="1" applyAlignment="1">
      <alignment horizontal="right"/>
    </xf>
    <xf numFmtId="10" fontId="11" fillId="0" borderId="0" xfId="1" applyNumberFormat="1" applyFont="1" applyAlignment="1">
      <alignment vertical="top"/>
    </xf>
    <xf numFmtId="3" fontId="11" fillId="0" borderId="1" xfId="0" applyNumberFormat="1" applyFont="1" applyBorder="1"/>
    <xf numFmtId="3" fontId="11" fillId="0" borderId="0" xfId="0" applyNumberFormat="1" applyFont="1" applyBorder="1"/>
    <xf numFmtId="0" fontId="15" fillId="0" borderId="0" xfId="0" applyFont="1" applyAlignment="1">
      <alignment vertical="top"/>
    </xf>
    <xf numFmtId="0" fontId="12" fillId="3" borderId="1" xfId="0" applyFont="1" applyFill="1" applyBorder="1" applyAlignment="1">
      <alignment horizontal="right" vertical="top" wrapText="1"/>
    </xf>
    <xf numFmtId="10" fontId="11" fillId="0" borderId="1" xfId="1" applyNumberFormat="1" applyFont="1" applyBorder="1"/>
    <xf numFmtId="10" fontId="11" fillId="0" borderId="0" xfId="1" applyNumberFormat="1" applyFont="1" applyBorder="1"/>
    <xf numFmtId="0" fontId="11" fillId="0" borderId="0" xfId="0" applyFont="1" applyAlignment="1">
      <alignment horizontal="left" vertical="top"/>
    </xf>
    <xf numFmtId="0" fontId="14" fillId="0" borderId="0" xfId="0" applyFont="1" applyAlignment="1">
      <alignment vertical="top"/>
    </xf>
    <xf numFmtId="0" fontId="12" fillId="3" borderId="0" xfId="0" quotePrefix="1" applyFont="1" applyFill="1" applyAlignment="1">
      <alignment horizontal="right" vertical="top" wrapText="1"/>
    </xf>
    <xf numFmtId="0" fontId="12" fillId="0" borderId="0" xfId="0" quotePrefix="1" applyFont="1" applyFill="1" applyAlignment="1">
      <alignment horizontal="right" vertical="top" wrapText="1"/>
    </xf>
    <xf numFmtId="0" fontId="18" fillId="0" borderId="0" xfId="0" quotePrefix="1" applyFont="1" applyFill="1" applyAlignment="1">
      <alignment horizontal="left" vertical="top"/>
    </xf>
    <xf numFmtId="0" fontId="11" fillId="0" borderId="1" xfId="0" applyFont="1" applyBorder="1"/>
    <xf numFmtId="0" fontId="11" fillId="0" borderId="0" xfId="0" applyFont="1" applyBorder="1"/>
    <xf numFmtId="3" fontId="16" fillId="0" borderId="0" xfId="0" applyNumberFormat="1" applyFont="1" applyAlignment="1">
      <alignment vertical="top" wrapText="1"/>
    </xf>
    <xf numFmtId="9" fontId="11" fillId="0" borderId="0" xfId="1" applyNumberFormat="1" applyFont="1" applyAlignment="1">
      <alignment vertical="top"/>
    </xf>
    <xf numFmtId="0" fontId="11" fillId="0" borderId="0" xfId="0" applyFont="1" applyAlignment="1">
      <alignment horizontal="center" vertical="top"/>
    </xf>
    <xf numFmtId="3" fontId="16" fillId="0" borderId="0" xfId="0" applyNumberFormat="1" applyFont="1" applyFill="1" applyAlignment="1">
      <alignment vertical="top"/>
    </xf>
    <xf numFmtId="3" fontId="11" fillId="0" borderId="0" xfId="0" quotePrefix="1" applyNumberFormat="1" applyFont="1" applyAlignment="1">
      <alignment horizontal="right" vertical="top"/>
    </xf>
    <xf numFmtId="165" fontId="11" fillId="0" borderId="1" xfId="1" applyNumberFormat="1" applyFont="1" applyBorder="1" applyAlignment="1">
      <alignment vertical="top"/>
    </xf>
    <xf numFmtId="165" fontId="11" fillId="0" borderId="0" xfId="1" applyNumberFormat="1" applyFont="1" applyBorder="1" applyAlignment="1">
      <alignment vertical="top"/>
    </xf>
    <xf numFmtId="0" fontId="11" fillId="0" borderId="1" xfId="0" applyFont="1" applyBorder="1" applyAlignment="1">
      <alignment vertical="top"/>
    </xf>
    <xf numFmtId="0" fontId="11" fillId="0" borderId="0" xfId="0" applyFont="1" applyBorder="1" applyAlignment="1">
      <alignment vertical="top"/>
    </xf>
    <xf numFmtId="9" fontId="11" fillId="0" borderId="0" xfId="1" applyNumberFormat="1" applyFont="1" applyBorder="1" applyAlignment="1">
      <alignment vertical="top"/>
    </xf>
    <xf numFmtId="0" fontId="11" fillId="0" borderId="0" xfId="0" applyFont="1" applyAlignment="1">
      <alignment horizontal="center" vertical="top"/>
    </xf>
    <xf numFmtId="164" fontId="11" fillId="0" borderId="1" xfId="0" applyNumberFormat="1" applyFont="1" applyBorder="1"/>
    <xf numFmtId="164" fontId="11" fillId="0" borderId="0" xfId="0" applyNumberFormat="1" applyFont="1" applyBorder="1"/>
    <xf numFmtId="166" fontId="11" fillId="0" borderId="1" xfId="0" applyNumberFormat="1" applyFont="1" applyBorder="1"/>
    <xf numFmtId="166" fontId="11" fillId="0" borderId="0" xfId="0" applyNumberFormat="1" applyFont="1" applyBorder="1"/>
    <xf numFmtId="0" fontId="15" fillId="0" borderId="0" xfId="0" applyFont="1"/>
    <xf numFmtId="10" fontId="15" fillId="0" borderId="0" xfId="1" applyNumberFormat="1" applyFont="1"/>
    <xf numFmtId="0" fontId="5" fillId="3" borderId="0" xfId="0" applyFont="1" applyFill="1" applyBorder="1"/>
    <xf numFmtId="0" fontId="5" fillId="3" borderId="0" xfId="0" applyFont="1" applyFill="1" applyBorder="1" applyAlignment="1">
      <alignment horizontal="left" vertical="top"/>
    </xf>
    <xf numFmtId="0" fontId="5" fillId="3" borderId="0" xfId="0" applyFont="1" applyFill="1" applyBorder="1" applyAlignment="1">
      <alignment horizontal="left" vertical="top" wrapText="1"/>
    </xf>
    <xf numFmtId="3" fontId="4" fillId="0" borderId="0" xfId="0" applyNumberFormat="1" applyFont="1" applyBorder="1"/>
    <xf numFmtId="0" fontId="5" fillId="3" borderId="3" xfId="0" applyFont="1" applyFill="1" applyBorder="1"/>
    <xf numFmtId="0" fontId="5" fillId="3" borderId="4" xfId="0" applyFont="1" applyFill="1" applyBorder="1"/>
    <xf numFmtId="0" fontId="5" fillId="3" borderId="5" xfId="0" applyFont="1" applyFill="1" applyBorder="1"/>
    <xf numFmtId="0" fontId="5" fillId="3" borderId="6" xfId="0" applyFont="1" applyFill="1" applyBorder="1"/>
    <xf numFmtId="0" fontId="5" fillId="3" borderId="7" xfId="0" applyFont="1" applyFill="1" applyBorder="1"/>
    <xf numFmtId="0" fontId="5" fillId="3" borderId="7" xfId="0" applyFont="1" applyFill="1" applyBorder="1" applyAlignment="1">
      <alignment wrapText="1"/>
    </xf>
    <xf numFmtId="3" fontId="4" fillId="0" borderId="7" xfId="0" applyNumberFormat="1" applyFont="1" applyBorder="1"/>
    <xf numFmtId="0" fontId="5" fillId="3" borderId="8" xfId="0" applyFont="1" applyFill="1" applyBorder="1"/>
    <xf numFmtId="3" fontId="4" fillId="0" borderId="9" xfId="0" applyNumberFormat="1" applyFont="1" applyBorder="1"/>
    <xf numFmtId="3" fontId="4" fillId="0" borderId="10" xfId="0" applyNumberFormat="1" applyFont="1" applyBorder="1"/>
    <xf numFmtId="0" fontId="3" fillId="3" borderId="3" xfId="0" applyFont="1" applyFill="1" applyBorder="1" applyAlignment="1">
      <alignment vertical="top"/>
    </xf>
    <xf numFmtId="0" fontId="3" fillId="3" borderId="4" xfId="0" applyFont="1" applyFill="1" applyBorder="1" applyAlignment="1">
      <alignment vertical="top"/>
    </xf>
    <xf numFmtId="0" fontId="3" fillId="3" borderId="5" xfId="0" applyFont="1" applyFill="1" applyBorder="1" applyAlignment="1">
      <alignment vertical="top"/>
    </xf>
    <xf numFmtId="0" fontId="3" fillId="3" borderId="6" xfId="0" applyFont="1" applyFill="1" applyBorder="1" applyAlignment="1">
      <alignment vertical="top"/>
    </xf>
    <xf numFmtId="3" fontId="10" fillId="0" borderId="0" xfId="0" applyNumberFormat="1" applyFont="1" applyBorder="1"/>
    <xf numFmtId="3" fontId="10" fillId="0" borderId="7" xfId="0" applyNumberFormat="1" applyFont="1" applyBorder="1"/>
    <xf numFmtId="0" fontId="3" fillId="3" borderId="8" xfId="0" applyFont="1" applyFill="1" applyBorder="1" applyAlignment="1">
      <alignment vertical="top"/>
    </xf>
    <xf numFmtId="3" fontId="10" fillId="0" borderId="9" xfId="0" applyNumberFormat="1" applyFont="1" applyBorder="1"/>
    <xf numFmtId="3" fontId="10" fillId="0" borderId="10" xfId="0" applyNumberFormat="1" applyFont="1" applyBorder="1"/>
    <xf numFmtId="0" fontId="19" fillId="0" borderId="0" xfId="0" applyFont="1"/>
    <xf numFmtId="0" fontId="12" fillId="3" borderId="3" xfId="0" applyFont="1" applyFill="1" applyBorder="1"/>
    <xf numFmtId="0" fontId="12" fillId="3" borderId="4" xfId="0" applyFont="1" applyFill="1" applyBorder="1" applyAlignment="1">
      <alignment vertical="top"/>
    </xf>
    <xf numFmtId="0" fontId="12" fillId="3" borderId="5" xfId="0" applyFont="1" applyFill="1" applyBorder="1" applyAlignment="1">
      <alignment vertical="top"/>
    </xf>
    <xf numFmtId="0" fontId="12" fillId="3" borderId="6" xfId="0" applyFont="1" applyFill="1" applyBorder="1"/>
    <xf numFmtId="3" fontId="11" fillId="0" borderId="7" xfId="0" applyNumberFormat="1" applyFont="1" applyBorder="1"/>
    <xf numFmtId="0" fontId="12" fillId="3" borderId="8" xfId="0" applyFont="1" applyFill="1" applyBorder="1"/>
    <xf numFmtId="3" fontId="11" fillId="0" borderId="9" xfId="0" applyNumberFormat="1" applyFont="1" applyBorder="1"/>
    <xf numFmtId="3" fontId="11" fillId="0" borderId="10" xfId="0" applyNumberFormat="1" applyFont="1" applyBorder="1"/>
    <xf numFmtId="0" fontId="12" fillId="3" borderId="3" xfId="0" applyFont="1" applyFill="1" applyBorder="1" applyAlignment="1">
      <alignment vertical="top"/>
    </xf>
    <xf numFmtId="0" fontId="5" fillId="3" borderId="3" xfId="0" applyFont="1" applyFill="1" applyBorder="1" applyAlignment="1">
      <alignment horizontal="right" vertical="top"/>
    </xf>
    <xf numFmtId="0" fontId="5" fillId="3" borderId="4" xfId="0" applyFont="1" applyFill="1" applyBorder="1" applyAlignment="1">
      <alignment horizontal="right" vertical="top"/>
    </xf>
    <xf numFmtId="0" fontId="5" fillId="3" borderId="5" xfId="0" applyFont="1" applyFill="1" applyBorder="1" applyAlignment="1">
      <alignment horizontal="right" vertical="top"/>
    </xf>
    <xf numFmtId="0" fontId="5" fillId="3" borderId="6" xfId="0" applyFont="1" applyFill="1" applyBorder="1" applyAlignment="1">
      <alignment horizontal="left" vertical="top"/>
    </xf>
    <xf numFmtId="2" fontId="4" fillId="0" borderId="7" xfId="0" applyNumberFormat="1" applyFont="1" applyBorder="1"/>
    <xf numFmtId="2" fontId="4" fillId="0" borderId="0" xfId="0" applyNumberFormat="1" applyFont="1" applyBorder="1"/>
    <xf numFmtId="0" fontId="4" fillId="0" borderId="7" xfId="0" applyFont="1" applyBorder="1"/>
    <xf numFmtId="0" fontId="5" fillId="3" borderId="8" xfId="0" applyFont="1" applyFill="1" applyBorder="1" applyAlignment="1">
      <alignment horizontal="left" vertical="top"/>
    </xf>
    <xf numFmtId="0" fontId="4" fillId="0" borderId="9" xfId="0" applyFont="1" applyBorder="1"/>
    <xf numFmtId="2" fontId="4" fillId="0" borderId="10" xfId="0" applyNumberFormat="1" applyFont="1" applyBorder="1"/>
    <xf numFmtId="164" fontId="11" fillId="8" borderId="0" xfId="0" applyNumberFormat="1" applyFont="1" applyFill="1"/>
    <xf numFmtId="0" fontId="11" fillId="0" borderId="0" xfId="0" applyFont="1" applyFill="1" applyAlignment="1">
      <alignment vertical="top"/>
    </xf>
    <xf numFmtId="0" fontId="12" fillId="0" borderId="0" xfId="0" applyFont="1" applyFill="1" applyAlignment="1">
      <alignment vertical="top" wrapText="1"/>
    </xf>
    <xf numFmtId="3" fontId="11" fillId="0" borderId="0" xfId="0" applyNumberFormat="1" applyFont="1" applyFill="1" applyAlignment="1">
      <alignment vertical="top"/>
    </xf>
    <xf numFmtId="0" fontId="12" fillId="0" borderId="0" xfId="0" applyFont="1" applyFill="1" applyAlignment="1">
      <alignment horizontal="right" vertical="top" wrapText="1"/>
    </xf>
    <xf numFmtId="3" fontId="11" fillId="0" borderId="1" xfId="0" applyNumberFormat="1" applyFont="1" applyBorder="1" applyAlignment="1">
      <alignment vertical="top"/>
    </xf>
    <xf numFmtId="2" fontId="11" fillId="9" borderId="0" xfId="0" applyNumberFormat="1" applyFont="1" applyFill="1"/>
    <xf numFmtId="3" fontId="11" fillId="0" borderId="0" xfId="0" applyNumberFormat="1" applyFont="1" applyFill="1"/>
    <xf numFmtId="0" fontId="12" fillId="3" borderId="4" xfId="0" applyFont="1" applyFill="1" applyBorder="1" applyAlignment="1">
      <alignment horizontal="left" vertical="top" wrapText="1"/>
    </xf>
    <xf numFmtId="0" fontId="12" fillId="3" borderId="4" xfId="0" applyFont="1" applyFill="1" applyBorder="1" applyAlignment="1">
      <alignment horizontal="right" vertical="top"/>
    </xf>
    <xf numFmtId="0" fontId="12" fillId="3" borderId="4" xfId="0" applyFont="1" applyFill="1" applyBorder="1" applyAlignment="1">
      <alignment horizontal="right" vertical="top" wrapText="1"/>
    </xf>
    <xf numFmtId="0" fontId="12" fillId="3" borderId="5" xfId="0" applyFont="1" applyFill="1" applyBorder="1" applyAlignment="1">
      <alignment horizontal="right" vertical="top"/>
    </xf>
    <xf numFmtId="0" fontId="11" fillId="0" borderId="6" xfId="0" applyFont="1" applyBorder="1"/>
    <xf numFmtId="9" fontId="11" fillId="0" borderId="0" xfId="1" applyNumberFormat="1" applyFont="1" applyBorder="1"/>
    <xf numFmtId="9" fontId="11" fillId="0" borderId="7" xfId="1" applyNumberFormat="1" applyFont="1" applyBorder="1"/>
    <xf numFmtId="9" fontId="11" fillId="0" borderId="0" xfId="0" applyNumberFormat="1" applyFont="1" applyBorder="1" applyAlignment="1">
      <alignment wrapText="1"/>
    </xf>
    <xf numFmtId="9" fontId="11" fillId="0" borderId="0" xfId="0" applyNumberFormat="1" applyFont="1" applyBorder="1"/>
    <xf numFmtId="9" fontId="11" fillId="0" borderId="7" xfId="0" applyNumberFormat="1" applyFont="1" applyBorder="1"/>
    <xf numFmtId="9" fontId="11" fillId="2" borderId="0" xfId="1" applyNumberFormat="1" applyFont="1" applyFill="1" applyBorder="1"/>
    <xf numFmtId="9" fontId="11" fillId="2" borderId="7" xfId="1" applyNumberFormat="1" applyFont="1" applyFill="1" applyBorder="1"/>
    <xf numFmtId="0" fontId="11" fillId="0" borderId="8" xfId="0" applyFont="1" applyBorder="1"/>
    <xf numFmtId="0" fontId="11" fillId="0" borderId="9" xfId="0" applyFont="1" applyBorder="1"/>
    <xf numFmtId="9" fontId="11" fillId="2" borderId="9" xfId="1" applyNumberFormat="1" applyFont="1" applyFill="1" applyBorder="1"/>
    <xf numFmtId="9" fontId="11" fillId="2" borderId="10" xfId="1" applyNumberFormat="1" applyFont="1" applyFill="1" applyBorder="1"/>
    <xf numFmtId="0" fontId="11" fillId="0" borderId="0" xfId="0" applyFont="1" applyAlignment="1">
      <alignment horizontal="right" vertical="top"/>
    </xf>
    <xf numFmtId="0" fontId="11" fillId="10" borderId="0" xfId="0" applyFont="1" applyFill="1" applyAlignment="1">
      <alignment vertical="top"/>
    </xf>
    <xf numFmtId="3" fontId="11" fillId="10" borderId="0" xfId="0" applyNumberFormat="1" applyFont="1" applyFill="1" applyAlignment="1">
      <alignment vertical="top"/>
    </xf>
    <xf numFmtId="0" fontId="0" fillId="0" borderId="0" xfId="0" applyFill="1"/>
    <xf numFmtId="0" fontId="15" fillId="10" borderId="0" xfId="0" applyFont="1" applyFill="1" applyAlignment="1">
      <alignment vertical="top"/>
    </xf>
    <xf numFmtId="3" fontId="15" fillId="10" borderId="0" xfId="0" applyNumberFormat="1" applyFont="1" applyFill="1" applyAlignment="1">
      <alignment vertical="top"/>
    </xf>
    <xf numFmtId="0" fontId="11" fillId="10" borderId="0" xfId="0" applyFont="1" applyFill="1" applyAlignment="1">
      <alignment vertical="top" wrapText="1"/>
    </xf>
    <xf numFmtId="3" fontId="16" fillId="0" borderId="0" xfId="0" quotePrefix="1" applyNumberFormat="1" applyFont="1" applyAlignment="1">
      <alignment horizontal="right" vertical="top"/>
    </xf>
    <xf numFmtId="0" fontId="12" fillId="3" borderId="1" xfId="0" applyFont="1" applyFill="1" applyBorder="1" applyAlignment="1">
      <alignment horizontal="left" vertical="top" wrapText="1"/>
    </xf>
    <xf numFmtId="166" fontId="11" fillId="0" borderId="0" xfId="0" applyNumberFormat="1" applyFont="1" applyAlignment="1">
      <alignment vertical="top"/>
    </xf>
    <xf numFmtId="0" fontId="12" fillId="0" borderId="0" xfId="0" quotePrefix="1" applyFont="1" applyFill="1" applyAlignment="1">
      <alignment horizontal="center" vertical="center" wrapText="1"/>
    </xf>
    <xf numFmtId="164" fontId="11" fillId="0" borderId="0" xfId="0" applyNumberFormat="1" applyFont="1" applyFill="1"/>
    <xf numFmtId="0" fontId="3" fillId="3" borderId="0" xfId="0" applyFont="1" applyFill="1" applyAlignment="1">
      <alignment horizontal="center" vertical="top" wrapText="1"/>
    </xf>
    <xf numFmtId="0" fontId="12" fillId="3" borderId="0" xfId="0" quotePrefix="1" applyFont="1" applyFill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top" wrapText="1"/>
    </xf>
    <xf numFmtId="0" fontId="12" fillId="3" borderId="0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1" fillId="0" borderId="0" xfId="0" applyFont="1" applyAlignment="1">
      <alignment horizontal="center" vertical="top"/>
    </xf>
    <xf numFmtId="0" fontId="12" fillId="3" borderId="0" xfId="0" applyFont="1" applyFill="1" applyAlignment="1">
      <alignment horizontal="center" vertical="top" wrapText="1"/>
    </xf>
    <xf numFmtId="0" fontId="11" fillId="7" borderId="0" xfId="0" applyFont="1" applyFill="1" applyAlignment="1">
      <alignment horizontal="center" vertical="top"/>
    </xf>
    <xf numFmtId="0" fontId="12" fillId="3" borderId="2" xfId="0" applyFont="1" applyFill="1" applyBorder="1" applyAlignment="1">
      <alignment horizontal="center" vertical="top" wrapText="1"/>
    </xf>
    <xf numFmtId="0" fontId="2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0" fillId="0" borderId="11" xfId="2" applyAlignment="1">
      <alignment wrapText="1"/>
    </xf>
  </cellXfs>
  <cellStyles count="3">
    <cellStyle name="Heading 1" xfId="2" builtinId="16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% platform workers as % adult population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'Option 1, Step 1'!$F$40</c:f>
              <c:strCache>
                <c:ptCount val="1"/>
                <c:pt idx="0">
                  <c:v>Main job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'Option 1, Step 1'!$G$39:$Z$39</c:f>
              <c:numCache>
                <c:formatCode>General</c:formatCode>
                <c:ptCount val="2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</c:numCache>
            </c:numRef>
          </c:cat>
          <c:val>
            <c:numRef>
              <c:f>'Option 1, Step 1'!$G$40:$Z$40</c:f>
              <c:numCache>
                <c:formatCode>General</c:formatCode>
                <c:ptCount val="20"/>
                <c:pt idx="0">
                  <c:v>0</c:v>
                </c:pt>
                <c:pt idx="6">
                  <c:v>2.2999999999999998</c:v>
                </c:pt>
                <c:pt idx="7">
                  <c:v>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E1-45BC-B998-2670435D5D18}"/>
            </c:ext>
          </c:extLst>
        </c:ser>
        <c:ser>
          <c:idx val="1"/>
          <c:order val="1"/>
          <c:tx>
            <c:strRef>
              <c:f>'Option 1, Step 1'!$F$41</c:f>
              <c:strCache>
                <c:ptCount val="1"/>
                <c:pt idx="0">
                  <c:v>Secondary job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'Option 1, Step 1'!$G$39:$Z$39</c:f>
              <c:numCache>
                <c:formatCode>General</c:formatCode>
                <c:ptCount val="2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</c:numCache>
            </c:numRef>
          </c:cat>
          <c:val>
            <c:numRef>
              <c:f>'Option 1, Step 1'!$G$41:$Z$41</c:f>
              <c:numCache>
                <c:formatCode>General</c:formatCode>
                <c:ptCount val="20"/>
                <c:pt idx="0">
                  <c:v>0</c:v>
                </c:pt>
                <c:pt idx="6">
                  <c:v>3.6</c:v>
                </c:pt>
                <c:pt idx="7">
                  <c:v>4.0999999999999996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E1-45BC-B998-2670435D5D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282815"/>
        <c:axId val="1999090047"/>
      </c:barChart>
      <c:lineChart>
        <c:grouping val="standard"/>
        <c:varyColors val="0"/>
        <c:ser>
          <c:idx val="2"/>
          <c:order val="2"/>
          <c:tx>
            <c:strRef>
              <c:f>'Option 1, Step 1'!$F$42</c:f>
              <c:strCache>
                <c:ptCount val="1"/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'Option 1, Step 1'!$G$39:$Z$39</c:f>
              <c:numCache>
                <c:formatCode>General</c:formatCode>
                <c:ptCount val="2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</c:numCache>
            </c:numRef>
          </c:cat>
          <c:val>
            <c:numRef>
              <c:f>'Option 1, Step 1'!$G$42:$Z$42</c:f>
              <c:numCache>
                <c:formatCode>0.00</c:formatCode>
                <c:ptCount val="20"/>
                <c:pt idx="0">
                  <c:v>0</c:v>
                </c:pt>
                <c:pt idx="1">
                  <c:v>0.26428571428571429</c:v>
                </c:pt>
                <c:pt idx="2">
                  <c:v>0.52857142857142858</c:v>
                </c:pt>
                <c:pt idx="3">
                  <c:v>0.79285714285714293</c:v>
                </c:pt>
                <c:pt idx="4">
                  <c:v>1.0571428571428572</c:v>
                </c:pt>
                <c:pt idx="5">
                  <c:v>1.3214285714285714</c:v>
                </c:pt>
                <c:pt idx="8">
                  <c:v>2.1583333333333332</c:v>
                </c:pt>
                <c:pt idx="9">
                  <c:v>2.4666666666666668</c:v>
                </c:pt>
                <c:pt idx="10">
                  <c:v>2.7750000000000004</c:v>
                </c:pt>
                <c:pt idx="11">
                  <c:v>3.0833333333333339</c:v>
                </c:pt>
                <c:pt idx="12">
                  <c:v>3.3916666666666675</c:v>
                </c:pt>
                <c:pt idx="13">
                  <c:v>3.7000000000000011</c:v>
                </c:pt>
                <c:pt idx="14">
                  <c:v>4.0083333333333346</c:v>
                </c:pt>
                <c:pt idx="15">
                  <c:v>4.0083333333333346</c:v>
                </c:pt>
                <c:pt idx="16">
                  <c:v>4.0083333333333346</c:v>
                </c:pt>
                <c:pt idx="17">
                  <c:v>4.0083333333333346</c:v>
                </c:pt>
                <c:pt idx="18">
                  <c:v>4.0083333333333346</c:v>
                </c:pt>
                <c:pt idx="19">
                  <c:v>4.0083333333333346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E1-45BC-B998-2670435D5D18}"/>
            </c:ext>
          </c:extLst>
        </c:ser>
        <c:ser>
          <c:idx val="3"/>
          <c:order val="3"/>
          <c:tx>
            <c:strRef>
              <c:f>'Option 1, Step 1'!$F$43</c:f>
              <c:strCache>
                <c:ptCount val="1"/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'Option 1, Step 1'!$G$39:$Z$39</c:f>
              <c:numCache>
                <c:formatCode>General</c:formatCode>
                <c:ptCount val="2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</c:numCache>
            </c:numRef>
          </c:cat>
          <c:val>
            <c:numRef>
              <c:f>'Option 1, Step 1'!$G$43:$Z$43</c:f>
              <c:numCache>
                <c:formatCode>0.00</c:formatCode>
                <c:ptCount val="20"/>
                <c:pt idx="0">
                  <c:v>0</c:v>
                </c:pt>
                <c:pt idx="1">
                  <c:v>0.54999999999999993</c:v>
                </c:pt>
                <c:pt idx="2">
                  <c:v>1.0999999999999999</c:v>
                </c:pt>
                <c:pt idx="3">
                  <c:v>1.65</c:v>
                </c:pt>
                <c:pt idx="4">
                  <c:v>2.1999999999999997</c:v>
                </c:pt>
                <c:pt idx="5">
                  <c:v>2.7499999999999996</c:v>
                </c:pt>
                <c:pt idx="8">
                  <c:v>4.4916666666666663</c:v>
                </c:pt>
                <c:pt idx="9">
                  <c:v>5.1333333333333329</c:v>
                </c:pt>
                <c:pt idx="10">
                  <c:v>5.7749999999999995</c:v>
                </c:pt>
                <c:pt idx="11">
                  <c:v>6.4166666666666661</c:v>
                </c:pt>
                <c:pt idx="12">
                  <c:v>7.0583333333333327</c:v>
                </c:pt>
                <c:pt idx="13">
                  <c:v>7.6999999999999993</c:v>
                </c:pt>
                <c:pt idx="14">
                  <c:v>8.341666666666665</c:v>
                </c:pt>
                <c:pt idx="15">
                  <c:v>8.341666666666665</c:v>
                </c:pt>
                <c:pt idx="16">
                  <c:v>8.341666666666665</c:v>
                </c:pt>
                <c:pt idx="17">
                  <c:v>8.341666666666665</c:v>
                </c:pt>
                <c:pt idx="18">
                  <c:v>8.341666666666665</c:v>
                </c:pt>
                <c:pt idx="19">
                  <c:v>8.341666666666665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E1-45BC-B998-2670435D5D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282815"/>
        <c:axId val="1999090047"/>
      </c:lineChart>
      <c:catAx>
        <c:axId val="222828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9090047"/>
        <c:crosses val="autoZero"/>
        <c:auto val="1"/>
        <c:lblAlgn val="ctr"/>
        <c:lblOffset val="100"/>
        <c:noMultiLvlLbl val="0"/>
      </c:catAx>
      <c:valAx>
        <c:axId val="199909004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282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161925</xdr:colOff>
      <xdr:row>44</xdr:row>
      <xdr:rowOff>38099</xdr:rowOff>
    </xdr:from>
    <xdr:to>
      <xdr:col>11</xdr:col>
      <xdr:colOff>200025</xdr:colOff>
      <xdr:row>63</xdr:row>
      <xdr:rowOff>38099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34A27592-0180-46DD-B3A0-100B5DA732A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417A3-8683-4EB3-8485-2489C5DEE301}">
  <dimension ref="A1:A5"/>
  <sheetViews>
    <sheetView workbookViewId="0">
      <selection activeCell="A4" sqref="A4"/>
    </sheetView>
  </sheetViews>
  <sheetFormatPr defaultRowHeight="15" x14ac:dyDescent="0.25"/>
  <cols>
    <col min="1" max="1" width="55.28515625" customWidth="1"/>
  </cols>
  <sheetData>
    <row r="1" spans="1:1" ht="137.25" thickBot="1" x14ac:dyDescent="0.35">
      <c r="A1" s="209" t="s">
        <v>465</v>
      </c>
    </row>
    <row r="2" spans="1:1" ht="15.75" thickTop="1" x14ac:dyDescent="0.25">
      <c r="A2" s="207" t="s">
        <v>461</v>
      </c>
    </row>
    <row r="3" spans="1:1" x14ac:dyDescent="0.25">
      <c r="A3" s="208" t="s">
        <v>462</v>
      </c>
    </row>
    <row r="4" spans="1:1" x14ac:dyDescent="0.25">
      <c r="A4" s="208" t="s">
        <v>463</v>
      </c>
    </row>
    <row r="5" spans="1:1" x14ac:dyDescent="0.25">
      <c r="A5" s="208" t="s">
        <v>464</v>
      </c>
    </row>
  </sheetData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E43"/>
  <sheetViews>
    <sheetView workbookViewId="0">
      <selection activeCell="AB26" sqref="AB26"/>
    </sheetView>
  </sheetViews>
  <sheetFormatPr defaultColWidth="9.140625" defaultRowHeight="11.25" x14ac:dyDescent="0.2"/>
  <cols>
    <col min="1" max="1" width="4.5703125" style="4" customWidth="1"/>
    <col min="2" max="4" width="13" style="2" customWidth="1"/>
    <col min="5" max="5" width="3.140625" style="2" customWidth="1"/>
    <col min="6" max="6" width="11.140625" style="4" customWidth="1"/>
    <col min="7" max="7" width="4.7109375" style="2" customWidth="1"/>
    <col min="8" max="8" width="14.42578125" style="2" customWidth="1"/>
    <col min="9" max="9" width="10.7109375" style="2" customWidth="1"/>
    <col min="10" max="10" width="13.140625" style="2" customWidth="1"/>
    <col min="11" max="11" width="10.28515625" style="2" customWidth="1"/>
    <col min="12" max="12" width="11" style="2" customWidth="1"/>
    <col min="13" max="13" width="8.85546875" style="2" customWidth="1"/>
    <col min="14" max="14" width="11.140625" style="2" customWidth="1"/>
    <col min="15" max="15" width="8.7109375" style="2" bestFit="1" customWidth="1"/>
    <col min="16" max="16" width="4.7109375" style="2" customWidth="1"/>
    <col min="17" max="25" width="8.7109375" style="2" bestFit="1" customWidth="1"/>
    <col min="26" max="26" width="8.5703125" style="29" customWidth="1"/>
    <col min="27" max="27" width="8.85546875" style="2" customWidth="1"/>
    <col min="28" max="28" width="9.140625" style="2" customWidth="1"/>
    <col min="29" max="39" width="9.85546875" style="2" customWidth="1"/>
    <col min="40" max="40" width="11.28515625" style="2" customWidth="1"/>
    <col min="41" max="41" width="10.5703125" style="2" customWidth="1"/>
    <col min="42" max="42" width="9.42578125" style="2" customWidth="1"/>
    <col min="43" max="43" width="5.42578125" style="2" customWidth="1"/>
    <col min="44" max="44" width="8.5703125" style="2" customWidth="1"/>
    <col min="45" max="55" width="6" style="2" customWidth="1"/>
    <col min="56" max="57" width="5.28515625" style="2" customWidth="1"/>
    <col min="58" max="58" width="3.42578125" style="2" customWidth="1"/>
    <col min="59" max="16384" width="9.140625" style="2"/>
  </cols>
  <sheetData>
    <row r="1" spans="1:57" x14ac:dyDescent="0.2">
      <c r="B1" s="2" t="s">
        <v>217</v>
      </c>
      <c r="F1" s="4" t="s">
        <v>216</v>
      </c>
      <c r="P1" s="2" t="s">
        <v>234</v>
      </c>
      <c r="Z1" s="2"/>
      <c r="AC1" s="29"/>
      <c r="AD1" s="2" t="s">
        <v>221</v>
      </c>
      <c r="AR1" s="2" t="s">
        <v>226</v>
      </c>
    </row>
    <row r="2" spans="1:57" ht="12" thickBot="1" x14ac:dyDescent="0.25">
      <c r="A2" s="39"/>
      <c r="B2" s="39"/>
      <c r="C2" s="39"/>
      <c r="D2" s="39"/>
      <c r="F2" s="39"/>
      <c r="G2" s="39"/>
      <c r="H2" s="39" t="s">
        <v>215</v>
      </c>
      <c r="I2" s="39">
        <v>2030</v>
      </c>
      <c r="J2" s="39">
        <v>2030</v>
      </c>
      <c r="K2" s="39">
        <v>2030</v>
      </c>
      <c r="L2" s="39" t="s">
        <v>231</v>
      </c>
      <c r="M2" s="39"/>
      <c r="N2" s="39"/>
      <c r="Z2" s="2"/>
      <c r="AC2" s="29"/>
    </row>
    <row r="3" spans="1:57" ht="33.75" x14ac:dyDescent="0.2">
      <c r="A3" s="3"/>
      <c r="B3" s="39" t="s">
        <v>218</v>
      </c>
      <c r="C3" s="39" t="s">
        <v>219</v>
      </c>
      <c r="D3" s="39" t="s">
        <v>36</v>
      </c>
      <c r="F3" s="3"/>
      <c r="G3" s="39" t="s">
        <v>235</v>
      </c>
      <c r="H3" s="39" t="s">
        <v>212</v>
      </c>
      <c r="I3" s="39" t="s">
        <v>213</v>
      </c>
      <c r="J3" s="39" t="s">
        <v>214</v>
      </c>
      <c r="K3" s="39" t="s">
        <v>212</v>
      </c>
      <c r="L3" s="39" t="s">
        <v>232</v>
      </c>
      <c r="M3" s="39" t="s">
        <v>239</v>
      </c>
      <c r="N3" s="39" t="s">
        <v>240</v>
      </c>
      <c r="P3" s="133"/>
      <c r="Q3" s="134">
        <v>2019</v>
      </c>
      <c r="R3" s="134">
        <v>2020</v>
      </c>
      <c r="S3" s="134">
        <v>2021</v>
      </c>
      <c r="T3" s="134">
        <v>2022</v>
      </c>
      <c r="U3" s="134">
        <v>2023</v>
      </c>
      <c r="V3" s="134">
        <v>2024</v>
      </c>
      <c r="W3" s="134">
        <v>2025</v>
      </c>
      <c r="X3" s="134">
        <v>2026</v>
      </c>
      <c r="Y3" s="134">
        <v>2027</v>
      </c>
      <c r="Z3" s="134">
        <v>2028</v>
      </c>
      <c r="AA3" s="134">
        <v>2029</v>
      </c>
      <c r="AB3" s="135">
        <v>2030</v>
      </c>
      <c r="AC3" s="41"/>
      <c r="AD3" s="3"/>
      <c r="AE3" s="3">
        <v>2019</v>
      </c>
      <c r="AF3" s="3">
        <v>2020</v>
      </c>
      <c r="AG3" s="3">
        <v>2021</v>
      </c>
      <c r="AH3" s="3">
        <v>2022</v>
      </c>
      <c r="AI3" s="3">
        <v>2023</v>
      </c>
      <c r="AJ3" s="3">
        <v>2024</v>
      </c>
      <c r="AK3" s="3">
        <v>2025</v>
      </c>
      <c r="AL3" s="3">
        <v>2026</v>
      </c>
      <c r="AM3" s="3">
        <v>2027</v>
      </c>
      <c r="AN3" s="3">
        <v>2028</v>
      </c>
      <c r="AO3" s="3">
        <v>2029</v>
      </c>
      <c r="AP3" s="3">
        <v>2030</v>
      </c>
      <c r="AR3" s="3"/>
      <c r="AS3" s="3" t="s">
        <v>227</v>
      </c>
      <c r="AT3" s="3">
        <v>2019</v>
      </c>
      <c r="AU3" s="3">
        <v>2020</v>
      </c>
      <c r="AV3" s="3">
        <v>2021</v>
      </c>
      <c r="AW3" s="3">
        <v>2022</v>
      </c>
      <c r="AX3" s="3">
        <v>2023</v>
      </c>
      <c r="AY3" s="3">
        <v>2024</v>
      </c>
      <c r="AZ3" s="3">
        <v>2025</v>
      </c>
      <c r="BA3" s="3">
        <v>2026</v>
      </c>
      <c r="BB3" s="3">
        <v>2027</v>
      </c>
      <c r="BC3" s="3">
        <v>2028</v>
      </c>
      <c r="BD3" s="3">
        <v>2029</v>
      </c>
      <c r="BE3" s="3">
        <v>2030</v>
      </c>
    </row>
    <row r="4" spans="1:57" x14ac:dyDescent="0.2">
      <c r="A4" s="3"/>
      <c r="B4" s="6"/>
      <c r="C4" s="6"/>
      <c r="D4" s="6"/>
      <c r="F4" s="3"/>
      <c r="P4" s="136" t="s">
        <v>72</v>
      </c>
      <c r="Q4" s="122">
        <v>12011576.645</v>
      </c>
      <c r="R4" s="122">
        <v>13430770.700000001</v>
      </c>
      <c r="S4" s="122">
        <v>14147127.487539273</v>
      </c>
      <c r="T4" s="122">
        <v>16269158.810000001</v>
      </c>
      <c r="U4" s="122">
        <v>17688352.865000002</v>
      </c>
      <c r="V4" s="122">
        <v>19107546.920000002</v>
      </c>
      <c r="W4" s="122">
        <v>20526740.975000001</v>
      </c>
      <c r="X4" s="122">
        <v>20526740.975000001</v>
      </c>
      <c r="Y4" s="122">
        <v>20526740.975000001</v>
      </c>
      <c r="Z4" s="122">
        <v>20526740.975000001</v>
      </c>
      <c r="AA4" s="122">
        <v>20526740.975000001</v>
      </c>
      <c r="AB4" s="129">
        <v>20526740.975000001</v>
      </c>
      <c r="AC4" s="29"/>
      <c r="AD4" s="3" t="s">
        <v>72</v>
      </c>
      <c r="AE4" s="40">
        <v>322053478</v>
      </c>
      <c r="AF4" s="40">
        <v>322376548</v>
      </c>
      <c r="AG4" s="40">
        <v>322820947</v>
      </c>
      <c r="AH4" s="40">
        <v>322606323</v>
      </c>
      <c r="AI4" s="40">
        <v>322194322</v>
      </c>
      <c r="AJ4" s="40">
        <v>321623027</v>
      </c>
      <c r="AK4" s="40">
        <v>321030552</v>
      </c>
      <c r="AL4" s="40">
        <v>320481154</v>
      </c>
      <c r="AM4" s="40">
        <v>320120590</v>
      </c>
      <c r="AN4" s="40">
        <v>319646113</v>
      </c>
      <c r="AO4" s="40">
        <v>319164802</v>
      </c>
      <c r="AP4" s="40">
        <v>318463813</v>
      </c>
      <c r="AR4" s="3" t="s">
        <v>72</v>
      </c>
      <c r="AS4" s="12">
        <v>3.7750000000000004</v>
      </c>
      <c r="AT4" s="12">
        <f>100*Q4/AE4</f>
        <v>3.7296838772224032</v>
      </c>
      <c r="AU4" s="12">
        <f t="shared" ref="AU4:AU31" si="0">100*R4/AF4</f>
        <v>4.1661748608338591</v>
      </c>
      <c r="AV4" s="12">
        <f t="shared" ref="AV4:AV31" si="1">100*S4/AG4</f>
        <v>4.3823449559297876</v>
      </c>
      <c r="AW4" s="12">
        <f t="shared" ref="AW4:AW31" si="2">100*T4/AH4</f>
        <v>5.0430377987352717</v>
      </c>
      <c r="AX4" s="12">
        <f t="shared" ref="AX4:AX31" si="3">100*U4/AI4</f>
        <v>5.4899641791328655</v>
      </c>
      <c r="AY4" s="12">
        <f t="shared" ref="AY4:AY31" si="4">100*V4/AJ4</f>
        <v>5.9409760234611566</v>
      </c>
      <c r="AZ4" s="12">
        <f t="shared" ref="AZ4:AZ31" si="5">100*W4/AK4</f>
        <v>6.3940147899069748</v>
      </c>
      <c r="BA4" s="12">
        <f t="shared" ref="BA4:BA31" si="6">100*X4/AL4</f>
        <v>6.4049759927536964</v>
      </c>
      <c r="BB4" s="12">
        <f t="shared" ref="BB4:BB31" si="7">100*Y4/AM4</f>
        <v>6.4121901609015532</v>
      </c>
      <c r="BC4" s="12">
        <f t="shared" ref="BC4:BC31" si="8">100*Z4/AN4</f>
        <v>6.4217083018306571</v>
      </c>
      <c r="BD4" s="12">
        <f t="shared" ref="BD4:BD31" si="9">100*AA4/AO4</f>
        <v>6.4313924487826206</v>
      </c>
      <c r="BE4" s="12">
        <f t="shared" ref="BE4:BE31" si="10">100*AB4/AP4</f>
        <v>6.44554895629539</v>
      </c>
    </row>
    <row r="5" spans="1:57" x14ac:dyDescent="0.2">
      <c r="A5" s="3" t="s">
        <v>72</v>
      </c>
      <c r="B5" s="6">
        <v>5725587.294999999</v>
      </c>
      <c r="C5" s="6">
        <v>11655105.276999997</v>
      </c>
      <c r="D5" s="6">
        <v>11553139.933499997</v>
      </c>
      <c r="F5" s="3" t="s">
        <v>72</v>
      </c>
      <c r="H5" s="12">
        <v>3.7749999999999999</v>
      </c>
      <c r="I5" s="12">
        <v>5.6</v>
      </c>
      <c r="J5" s="12">
        <v>11.6</v>
      </c>
      <c r="K5" s="12">
        <v>11.399999999999999</v>
      </c>
      <c r="L5" s="23">
        <v>1.4</v>
      </c>
      <c r="M5" s="6">
        <f>+AE4*L5/100</f>
        <v>4508748.6919999998</v>
      </c>
      <c r="N5" s="6">
        <v>11100000</v>
      </c>
      <c r="P5" s="136" t="s">
        <v>0</v>
      </c>
      <c r="Q5" s="137">
        <v>227099.35419625399</v>
      </c>
      <c r="R5" s="137">
        <v>208575.11088681227</v>
      </c>
      <c r="S5" s="137">
        <v>178765.89107020246</v>
      </c>
      <c r="T5" s="137">
        <v>205865.89172395575</v>
      </c>
      <c r="U5" s="137">
        <v>224048.57011884078</v>
      </c>
      <c r="V5" s="137">
        <v>242548.70765759679</v>
      </c>
      <c r="W5" s="137">
        <v>261361.16734353313</v>
      </c>
      <c r="X5" s="137">
        <v>262090.44547872664</v>
      </c>
      <c r="Y5" s="137">
        <v>262814.0309204121</v>
      </c>
      <c r="Z5" s="137">
        <v>263460.55281479436</v>
      </c>
      <c r="AA5" s="137">
        <v>264194.3475042046</v>
      </c>
      <c r="AB5" s="138">
        <v>264967.36773347674</v>
      </c>
      <c r="AC5" s="29"/>
      <c r="AD5" s="3" t="s">
        <v>0</v>
      </c>
      <c r="AE5" s="40">
        <v>6487728</v>
      </c>
      <c r="AF5" s="40">
        <v>6505335</v>
      </c>
      <c r="AG5" s="40">
        <v>6524141</v>
      </c>
      <c r="AH5" s="40">
        <v>6532185</v>
      </c>
      <c r="AI5" s="40">
        <v>6531806</v>
      </c>
      <c r="AJ5" s="40">
        <v>6535342</v>
      </c>
      <c r="AK5" s="40">
        <v>6544615</v>
      </c>
      <c r="AL5" s="40">
        <v>6552889</v>
      </c>
      <c r="AM5" s="40">
        <v>6564754</v>
      </c>
      <c r="AN5" s="40">
        <v>6572077</v>
      </c>
      <c r="AO5" s="40">
        <v>6580888</v>
      </c>
      <c r="AP5" s="40">
        <v>6586235</v>
      </c>
      <c r="AR5" s="3" t="s">
        <v>0</v>
      </c>
      <c r="AS5" s="12">
        <v>3.9249999999999998</v>
      </c>
      <c r="AT5" s="12">
        <f t="shared" ref="AT5:AT31" si="11">100*Q5/AE5</f>
        <v>3.5004450586746851</v>
      </c>
      <c r="AU5" s="12">
        <f t="shared" si="0"/>
        <v>3.2062162961140706</v>
      </c>
      <c r="AV5" s="12">
        <f t="shared" si="1"/>
        <v>2.7400678659489799</v>
      </c>
      <c r="AW5" s="12">
        <f t="shared" si="2"/>
        <v>3.1515624821396786</v>
      </c>
      <c r="AX5" s="12">
        <f t="shared" si="3"/>
        <v>3.4301167260454579</v>
      </c>
      <c r="AY5" s="12">
        <f t="shared" si="4"/>
        <v>3.7113391718076394</v>
      </c>
      <c r="AZ5" s="12">
        <f t="shared" si="5"/>
        <v>3.9935300601109938</v>
      </c>
      <c r="BA5" s="12">
        <f t="shared" si="6"/>
        <v>3.9996167412377446</v>
      </c>
      <c r="BB5" s="12">
        <f t="shared" si="7"/>
        <v>4.0034101951179295</v>
      </c>
      <c r="BC5" s="12">
        <f t="shared" si="8"/>
        <v>4.0087867627660838</v>
      </c>
      <c r="BD5" s="12">
        <f t="shared" si="9"/>
        <v>4.0145698802988985</v>
      </c>
      <c r="BE5" s="12">
        <f t="shared" si="10"/>
        <v>4.0230475792843219</v>
      </c>
    </row>
    <row r="6" spans="1:57" x14ac:dyDescent="0.2">
      <c r="A6" s="3" t="s">
        <v>0</v>
      </c>
      <c r="B6" s="6">
        <v>124046.9295</v>
      </c>
      <c r="C6" s="6">
        <v>251274.54950000002</v>
      </c>
      <c r="D6" s="6">
        <v>249684.20425000001</v>
      </c>
      <c r="F6" s="3" t="s">
        <v>0</v>
      </c>
      <c r="G6" s="2" t="s">
        <v>5</v>
      </c>
      <c r="H6" s="12">
        <v>3.9249999999999998</v>
      </c>
      <c r="I6" s="12">
        <v>5.85</v>
      </c>
      <c r="J6" s="12">
        <v>11.850000000000001</v>
      </c>
      <c r="K6" s="12">
        <v>11.775</v>
      </c>
      <c r="L6" s="23">
        <v>1.7</v>
      </c>
      <c r="M6" s="6">
        <f>+AE5*L6/100</f>
        <v>110291.37599999999</v>
      </c>
      <c r="P6" s="136" t="s">
        <v>1</v>
      </c>
      <c r="Q6" s="137">
        <v>254074.26255604794</v>
      </c>
      <c r="R6" s="137">
        <v>284304.51297299669</v>
      </c>
      <c r="S6" s="137">
        <v>299482.6040214005</v>
      </c>
      <c r="T6" s="137">
        <v>344753.76329590182</v>
      </c>
      <c r="U6" s="137">
        <v>375632.81866630784</v>
      </c>
      <c r="V6" s="137">
        <v>406805.82333259424</v>
      </c>
      <c r="W6" s="137">
        <v>438260.22815123259</v>
      </c>
      <c r="X6" s="137">
        <v>439463.24953321076</v>
      </c>
      <c r="Y6" s="137">
        <v>440628.48093988455</v>
      </c>
      <c r="Z6" s="137">
        <v>441730.75501146406</v>
      </c>
      <c r="AA6" s="137">
        <v>442907.31086891197</v>
      </c>
      <c r="AB6" s="138">
        <v>444111.27559925435</v>
      </c>
      <c r="AC6" s="29"/>
      <c r="AD6" s="3" t="s">
        <v>1</v>
      </c>
      <c r="AE6" s="40">
        <v>8123728</v>
      </c>
      <c r="AF6" s="40">
        <v>8157025</v>
      </c>
      <c r="AG6" s="40">
        <v>8181434</v>
      </c>
      <c r="AH6" s="40">
        <v>8188412</v>
      </c>
      <c r="AI6" s="40">
        <v>8197297</v>
      </c>
      <c r="AJ6" s="40">
        <v>8204877</v>
      </c>
      <c r="AK6" s="40">
        <v>8214672</v>
      </c>
      <c r="AL6" s="40">
        <v>8224684</v>
      </c>
      <c r="AM6" s="40">
        <v>8238676</v>
      </c>
      <c r="AN6" s="40">
        <v>8248207</v>
      </c>
      <c r="AO6" s="40">
        <v>8258261</v>
      </c>
      <c r="AP6" s="40">
        <v>8263258</v>
      </c>
      <c r="AR6" s="3" t="s">
        <v>1</v>
      </c>
      <c r="AS6" s="12">
        <v>5.0750000000000002</v>
      </c>
      <c r="AT6" s="12">
        <f t="shared" si="11"/>
        <v>3.1275574779959143</v>
      </c>
      <c r="AU6" s="12">
        <f t="shared" si="0"/>
        <v>3.485394650292192</v>
      </c>
      <c r="AV6" s="12">
        <f t="shared" si="1"/>
        <v>3.6605148195463109</v>
      </c>
      <c r="AW6" s="12">
        <f t="shared" si="2"/>
        <v>4.2102640084048257</v>
      </c>
      <c r="AX6" s="12">
        <f t="shared" si="3"/>
        <v>4.5823985475493672</v>
      </c>
      <c r="AY6" s="12">
        <f t="shared" si="4"/>
        <v>4.9580977671279447</v>
      </c>
      <c r="AZ6" s="12">
        <f t="shared" si="5"/>
        <v>5.3350910194738459</v>
      </c>
      <c r="BA6" s="12">
        <f t="shared" si="6"/>
        <v>5.3432235151309246</v>
      </c>
      <c r="BB6" s="12">
        <f t="shared" si="7"/>
        <v>5.3482923826581423</v>
      </c>
      <c r="BC6" s="12">
        <f t="shared" si="8"/>
        <v>5.3554761054307205</v>
      </c>
      <c r="BD6" s="12">
        <f t="shared" si="9"/>
        <v>5.3632031110292102</v>
      </c>
      <c r="BE6" s="12">
        <f t="shared" si="10"/>
        <v>5.3745299444753432</v>
      </c>
    </row>
    <row r="7" spans="1:57" x14ac:dyDescent="0.2">
      <c r="A7" s="3" t="s">
        <v>1</v>
      </c>
      <c r="B7" s="6">
        <v>218463.905</v>
      </c>
      <c r="C7" s="6">
        <v>369402.60300000006</v>
      </c>
      <c r="D7" s="6">
        <v>403165.20650000003</v>
      </c>
      <c r="F7" s="3" t="s">
        <v>1</v>
      </c>
      <c r="G7" s="2" t="s">
        <v>19</v>
      </c>
      <c r="H7" s="12">
        <v>5.0750000000000002</v>
      </c>
      <c r="I7" s="12">
        <v>8.25</v>
      </c>
      <c r="J7" s="12">
        <v>13.950000000000001</v>
      </c>
      <c r="K7" s="12">
        <v>15.225000000000001</v>
      </c>
      <c r="L7" s="23">
        <v>2.4</v>
      </c>
      <c r="M7" s="6">
        <f>+AE6*L7/100</f>
        <v>194969.47199999998</v>
      </c>
      <c r="P7" s="136" t="s">
        <v>2</v>
      </c>
      <c r="Q7" s="137">
        <v>179535.51982374745</v>
      </c>
      <c r="R7" s="137">
        <v>206623.35162480449</v>
      </c>
      <c r="S7" s="137">
        <v>222133.38225391769</v>
      </c>
      <c r="T7" s="137">
        <v>252543.63816056255</v>
      </c>
      <c r="U7" s="137">
        <v>271754.71295054554</v>
      </c>
      <c r="V7" s="137">
        <v>290631.75854495924</v>
      </c>
      <c r="W7" s="137">
        <v>309127.31592821784</v>
      </c>
      <c r="X7" s="137">
        <v>306028.59216186643</v>
      </c>
      <c r="Y7" s="137">
        <v>303649.84545878542</v>
      </c>
      <c r="Z7" s="137">
        <v>301531.42459019239</v>
      </c>
      <c r="AA7" s="137">
        <v>299267.01055848988</v>
      </c>
      <c r="AB7" s="138">
        <v>297308.80246108072</v>
      </c>
      <c r="AC7" s="29"/>
      <c r="AD7" s="3" t="s">
        <v>2</v>
      </c>
      <c r="AE7" s="40">
        <v>5192286</v>
      </c>
      <c r="AF7" s="40">
        <v>5137935</v>
      </c>
      <c r="AG7" s="40">
        <v>5077551</v>
      </c>
      <c r="AH7" s="40">
        <v>5011761</v>
      </c>
      <c r="AI7" s="40">
        <v>4953521</v>
      </c>
      <c r="AJ7" s="40">
        <v>4894872</v>
      </c>
      <c r="AK7" s="40">
        <v>4837309</v>
      </c>
      <c r="AL7" s="40">
        <v>4781294</v>
      </c>
      <c r="AM7" s="40">
        <v>4739405</v>
      </c>
      <c r="AN7" s="40">
        <v>4699819</v>
      </c>
      <c r="AO7" s="40">
        <v>4657565</v>
      </c>
      <c r="AP7" s="40">
        <v>4617092</v>
      </c>
      <c r="AR7" s="3" t="s">
        <v>2</v>
      </c>
      <c r="AS7" s="12">
        <v>3.05</v>
      </c>
      <c r="AT7" s="12">
        <f t="shared" si="11"/>
        <v>3.457735568182251</v>
      </c>
      <c r="AU7" s="12">
        <f t="shared" si="0"/>
        <v>4.021525216352571</v>
      </c>
      <c r="AV7" s="12">
        <f t="shared" si="1"/>
        <v>4.3748134140635448</v>
      </c>
      <c r="AW7" s="12">
        <f t="shared" si="2"/>
        <v>5.0390199804133227</v>
      </c>
      <c r="AX7" s="12">
        <f t="shared" si="3"/>
        <v>5.4860918718330973</v>
      </c>
      <c r="AY7" s="12">
        <f t="shared" si="4"/>
        <v>5.9374741269017708</v>
      </c>
      <c r="AZ7" s="12">
        <f t="shared" si="5"/>
        <v>6.3904810697066869</v>
      </c>
      <c r="BA7" s="12">
        <f t="shared" si="6"/>
        <v>6.4005391043066258</v>
      </c>
      <c r="BB7" s="12">
        <f t="shared" si="7"/>
        <v>6.4069191271643886</v>
      </c>
      <c r="BC7" s="12">
        <f t="shared" si="8"/>
        <v>6.4158093022346687</v>
      </c>
      <c r="BD7" s="12">
        <f t="shared" si="9"/>
        <v>6.4253963295947543</v>
      </c>
      <c r="BE7" s="12">
        <f t="shared" si="10"/>
        <v>6.4393086050934372</v>
      </c>
    </row>
    <row r="8" spans="1:57" x14ac:dyDescent="0.2">
      <c r="A8" s="3" t="s">
        <v>2</v>
      </c>
      <c r="B8" s="6">
        <v>75754.937999999995</v>
      </c>
      <c r="C8" s="6">
        <v>178565.21099999998</v>
      </c>
      <c r="D8" s="6">
        <v>165037.54349999997</v>
      </c>
      <c r="F8" s="3" t="s">
        <v>2</v>
      </c>
      <c r="G8" s="2" t="s">
        <v>22</v>
      </c>
      <c r="H8" s="12">
        <v>3.05</v>
      </c>
      <c r="I8" s="12">
        <v>4.1999999999999993</v>
      </c>
      <c r="J8" s="12">
        <v>9.8999999999999986</v>
      </c>
      <c r="K8" s="12">
        <v>9.1499999999999986</v>
      </c>
      <c r="L8" s="42" t="s">
        <v>233</v>
      </c>
      <c r="M8" s="42" t="s">
        <v>233</v>
      </c>
      <c r="P8" s="136" t="s">
        <v>3</v>
      </c>
      <c r="Q8" s="137">
        <v>27916.86903501991</v>
      </c>
      <c r="R8" s="137">
        <v>35006.929040252668</v>
      </c>
      <c r="S8" s="137">
        <v>40210.233467346479</v>
      </c>
      <c r="T8" s="137">
        <v>46550.180055978315</v>
      </c>
      <c r="U8" s="137">
        <v>50955.700765368645</v>
      </c>
      <c r="V8" s="137">
        <v>55403.583947411695</v>
      </c>
      <c r="W8" s="137">
        <v>59926.280956641538</v>
      </c>
      <c r="X8" s="137">
        <v>60239.79452145689</v>
      </c>
      <c r="Y8" s="137">
        <v>60563.080388562441</v>
      </c>
      <c r="Z8" s="137">
        <v>60936.75387048738</v>
      </c>
      <c r="AA8" s="137">
        <v>61330.535439083382</v>
      </c>
      <c r="AB8" s="138">
        <v>61725.362643888526</v>
      </c>
      <c r="AC8" s="29"/>
      <c r="AD8" s="3" t="s">
        <v>3</v>
      </c>
      <c r="AE8" s="40">
        <v>647316</v>
      </c>
      <c r="AF8" s="40">
        <v>655811</v>
      </c>
      <c r="AG8" s="40">
        <v>660494</v>
      </c>
      <c r="AH8" s="40">
        <v>664792</v>
      </c>
      <c r="AI8" s="40">
        <v>668611</v>
      </c>
      <c r="AJ8" s="40">
        <v>671887</v>
      </c>
      <c r="AK8" s="40">
        <v>675381</v>
      </c>
      <c r="AL8" s="40">
        <v>677881</v>
      </c>
      <c r="AM8" s="40">
        <v>680873</v>
      </c>
      <c r="AN8" s="40">
        <v>684155</v>
      </c>
      <c r="AO8" s="40">
        <v>687584</v>
      </c>
      <c r="AP8" s="40">
        <v>690552</v>
      </c>
      <c r="AR8" s="3" t="s">
        <v>3</v>
      </c>
      <c r="AS8" s="12">
        <v>3.9249999999999998</v>
      </c>
      <c r="AT8" s="12">
        <f t="shared" si="11"/>
        <v>4.3127111078700224</v>
      </c>
      <c r="AU8" s="12">
        <f t="shared" si="0"/>
        <v>5.3379600281563846</v>
      </c>
      <c r="AV8" s="12">
        <f t="shared" si="1"/>
        <v>6.0879029131750597</v>
      </c>
      <c r="AW8" s="12">
        <f t="shared" si="2"/>
        <v>7.0022172432848642</v>
      </c>
      <c r="AX8" s="12">
        <f t="shared" si="3"/>
        <v>7.6211280947170534</v>
      </c>
      <c r="AY8" s="12">
        <f t="shared" si="4"/>
        <v>8.2459675432642232</v>
      </c>
      <c r="AZ8" s="12">
        <f t="shared" si="5"/>
        <v>8.8729592565739246</v>
      </c>
      <c r="BA8" s="12">
        <f t="shared" si="6"/>
        <v>8.886485167965601</v>
      </c>
      <c r="BB8" s="12">
        <f t="shared" si="7"/>
        <v>8.8949158490000979</v>
      </c>
      <c r="BC8" s="12">
        <f t="shared" si="8"/>
        <v>8.906863776554637</v>
      </c>
      <c r="BD8" s="12">
        <f t="shared" si="9"/>
        <v>8.9197153277393575</v>
      </c>
      <c r="BE8" s="12">
        <f t="shared" si="10"/>
        <v>8.9385538878880268</v>
      </c>
    </row>
    <row r="9" spans="1:57" x14ac:dyDescent="0.2">
      <c r="A9" s="3" t="s">
        <v>3</v>
      </c>
      <c r="B9" s="6">
        <v>12214.605</v>
      </c>
      <c r="C9" s="6">
        <v>24742.404999999999</v>
      </c>
      <c r="D9" s="6">
        <v>24585.807499999999</v>
      </c>
      <c r="F9" s="3" t="s">
        <v>3</v>
      </c>
      <c r="G9" s="2" t="s">
        <v>5</v>
      </c>
      <c r="H9" s="12">
        <v>3.9249999999999998</v>
      </c>
      <c r="I9" s="12">
        <v>5.85</v>
      </c>
      <c r="J9" s="12">
        <v>11.850000000000001</v>
      </c>
      <c r="K9" s="12">
        <v>11.775</v>
      </c>
      <c r="L9" s="42" t="s">
        <v>233</v>
      </c>
      <c r="M9" s="42" t="s">
        <v>233</v>
      </c>
      <c r="P9" s="136" t="s">
        <v>4</v>
      </c>
      <c r="Q9" s="137">
        <v>184448.44753256833</v>
      </c>
      <c r="R9" s="137">
        <v>231172.86865751521</v>
      </c>
      <c r="S9" s="137">
        <v>265915.41645630449</v>
      </c>
      <c r="T9" s="137">
        <v>304310.77069875691</v>
      </c>
      <c r="U9" s="137">
        <v>329343.39833910007</v>
      </c>
      <c r="V9" s="137">
        <v>354574.80748680746</v>
      </c>
      <c r="W9" s="137">
        <v>379927.79776347766</v>
      </c>
      <c r="X9" s="137">
        <v>379283.71651276015</v>
      </c>
      <c r="Y9" s="137">
        <v>378596.88401756866</v>
      </c>
      <c r="Z9" s="137">
        <v>378073.82703717635</v>
      </c>
      <c r="AA9" s="137">
        <v>377658.26617338252</v>
      </c>
      <c r="AB9" s="138">
        <v>377086.0526261811</v>
      </c>
      <c r="AC9" s="29"/>
      <c r="AD9" s="3" t="s">
        <v>4</v>
      </c>
      <c r="AE9" s="40">
        <v>7857877</v>
      </c>
      <c r="AF9" s="40">
        <v>7839158</v>
      </c>
      <c r="AG9" s="40">
        <v>7824926</v>
      </c>
      <c r="AH9" s="40">
        <v>7784830</v>
      </c>
      <c r="AI9" s="40">
        <v>7740858</v>
      </c>
      <c r="AJ9" s="40">
        <v>7702269</v>
      </c>
      <c r="AK9" s="40">
        <v>7669706</v>
      </c>
      <c r="AL9" s="40">
        <v>7645027</v>
      </c>
      <c r="AM9" s="40">
        <v>7623928</v>
      </c>
      <c r="AN9" s="40">
        <v>7603162</v>
      </c>
      <c r="AO9" s="40">
        <v>7583839</v>
      </c>
      <c r="AP9" s="40">
        <v>7556365</v>
      </c>
      <c r="AR9" s="3" t="s">
        <v>4</v>
      </c>
      <c r="AS9" s="12">
        <v>1.85</v>
      </c>
      <c r="AT9" s="12">
        <f t="shared" si="11"/>
        <v>2.347306372097302</v>
      </c>
      <c r="AU9" s="12">
        <f t="shared" si="0"/>
        <v>2.9489502400323504</v>
      </c>
      <c r="AV9" s="12">
        <f t="shared" si="1"/>
        <v>3.3983122199022007</v>
      </c>
      <c r="AW9" s="12">
        <f t="shared" si="2"/>
        <v>3.9090226851293721</v>
      </c>
      <c r="AX9" s="12">
        <f t="shared" si="3"/>
        <v>4.2546110307035745</v>
      </c>
      <c r="AY9" s="12">
        <f t="shared" si="4"/>
        <v>4.6035110885741268</v>
      </c>
      <c r="AZ9" s="12">
        <f t="shared" si="5"/>
        <v>4.9536161850725131</v>
      </c>
      <c r="BA9" s="12">
        <f t="shared" si="6"/>
        <v>4.9611821712697699</v>
      </c>
      <c r="BB9" s="12">
        <f t="shared" si="7"/>
        <v>4.9659031934400311</v>
      </c>
      <c r="BC9" s="12">
        <f t="shared" si="8"/>
        <v>4.9725867611025034</v>
      </c>
      <c r="BD9" s="12">
        <f t="shared" si="9"/>
        <v>4.9797769463906416</v>
      </c>
      <c r="BE9" s="12">
        <f t="shared" si="10"/>
        <v>4.9903101904974294</v>
      </c>
    </row>
    <row r="10" spans="1:57" x14ac:dyDescent="0.2">
      <c r="A10" s="3" t="s">
        <v>4</v>
      </c>
      <c r="B10" s="6">
        <v>71444.394</v>
      </c>
      <c r="C10" s="6">
        <v>150827.05399999997</v>
      </c>
      <c r="D10" s="6">
        <v>146857.92099999997</v>
      </c>
      <c r="F10" s="3" t="s">
        <v>4</v>
      </c>
      <c r="H10" s="12">
        <v>1.85</v>
      </c>
      <c r="I10" s="12">
        <v>2.7</v>
      </c>
      <c r="J10" s="12">
        <v>5.6999999999999993</v>
      </c>
      <c r="K10" s="12">
        <v>5.55</v>
      </c>
      <c r="L10" s="23">
        <v>0.8</v>
      </c>
      <c r="M10" s="6">
        <f t="shared" ref="M10:M24" si="12">+AE9*L10/100</f>
        <v>62863.016000000003</v>
      </c>
      <c r="P10" s="136" t="s">
        <v>5</v>
      </c>
      <c r="Q10" s="137">
        <v>2175582.6582656084</v>
      </c>
      <c r="R10" s="137">
        <v>2078810.1336247709</v>
      </c>
      <c r="S10" s="137">
        <v>1878238.4190666629</v>
      </c>
      <c r="T10" s="137">
        <v>2162395.4484047508</v>
      </c>
      <c r="U10" s="137">
        <v>2352428.6471737283</v>
      </c>
      <c r="V10" s="137">
        <v>2541545.8315523094</v>
      </c>
      <c r="W10" s="137">
        <v>2727127.637586005</v>
      </c>
      <c r="X10" s="137">
        <v>2723540.4757823944</v>
      </c>
      <c r="Y10" s="137">
        <v>2719177.7979424801</v>
      </c>
      <c r="Z10" s="137">
        <v>2714769.3244202361</v>
      </c>
      <c r="AA10" s="137">
        <v>2711570.58284629</v>
      </c>
      <c r="AB10" s="138">
        <v>2708558.9778366378</v>
      </c>
      <c r="AC10" s="29"/>
      <c r="AD10" s="3" t="s">
        <v>5</v>
      </c>
      <c r="AE10" s="40">
        <v>59943295</v>
      </c>
      <c r="AF10" s="40">
        <v>59883332</v>
      </c>
      <c r="AG10" s="40">
        <v>60037675</v>
      </c>
      <c r="AH10" s="40">
        <v>60104136</v>
      </c>
      <c r="AI10" s="40">
        <v>60078048</v>
      </c>
      <c r="AJ10" s="40">
        <v>59991121</v>
      </c>
      <c r="AK10" s="40">
        <v>59824420</v>
      </c>
      <c r="AL10" s="40">
        <v>59655097</v>
      </c>
      <c r="AM10" s="40">
        <v>59503384</v>
      </c>
      <c r="AN10" s="40">
        <v>59327496</v>
      </c>
      <c r="AO10" s="40">
        <v>59172528</v>
      </c>
      <c r="AP10" s="40">
        <v>58982561</v>
      </c>
      <c r="AR10" s="3" t="s">
        <v>5</v>
      </c>
      <c r="AS10" s="12">
        <v>3.9249999999999998</v>
      </c>
      <c r="AT10" s="12">
        <f t="shared" si="11"/>
        <v>3.6294011836780213</v>
      </c>
      <c r="AU10" s="12">
        <f t="shared" si="0"/>
        <v>3.4714336430457324</v>
      </c>
      <c r="AV10" s="12">
        <f t="shared" si="1"/>
        <v>3.1284329699087494</v>
      </c>
      <c r="AW10" s="12">
        <f t="shared" si="2"/>
        <v>3.5977481622974348</v>
      </c>
      <c r="AX10" s="12">
        <f t="shared" si="3"/>
        <v>3.9156209721955819</v>
      </c>
      <c r="AY10" s="12">
        <f t="shared" si="4"/>
        <v>4.2365366560700028</v>
      </c>
      <c r="AZ10" s="12">
        <f t="shared" si="5"/>
        <v>4.5585525736580559</v>
      </c>
      <c r="BA10" s="12">
        <f t="shared" si="6"/>
        <v>4.565478245358304</v>
      </c>
      <c r="BB10" s="12">
        <f t="shared" si="7"/>
        <v>4.5697868174060146</v>
      </c>
      <c r="BC10" s="12">
        <f t="shared" si="8"/>
        <v>4.5759041042626114</v>
      </c>
      <c r="BD10" s="12">
        <f t="shared" si="9"/>
        <v>4.5824822337255728</v>
      </c>
      <c r="BE10" s="12">
        <f t="shared" si="10"/>
        <v>4.5921352547520575</v>
      </c>
    </row>
    <row r="11" spans="1:57" x14ac:dyDescent="0.2">
      <c r="A11" s="3" t="s">
        <v>5</v>
      </c>
      <c r="B11" s="6">
        <v>1158922.3229999999</v>
      </c>
      <c r="C11" s="6">
        <v>2347560.6030000001</v>
      </c>
      <c r="D11" s="6">
        <v>2332702.6244999999</v>
      </c>
      <c r="F11" s="3" t="s">
        <v>5</v>
      </c>
      <c r="H11" s="12">
        <v>3.9249999999999998</v>
      </c>
      <c r="I11" s="12">
        <v>5.85</v>
      </c>
      <c r="J11" s="12">
        <v>11.850000000000001</v>
      </c>
      <c r="K11" s="12">
        <v>11.775</v>
      </c>
      <c r="L11" s="23">
        <v>1.9</v>
      </c>
      <c r="M11" s="6">
        <f t="shared" si="12"/>
        <v>1138922.605</v>
      </c>
      <c r="P11" s="136" t="s">
        <v>6</v>
      </c>
      <c r="Q11" s="137">
        <v>149532.5766554861</v>
      </c>
      <c r="R11" s="137">
        <v>141018.20352715167</v>
      </c>
      <c r="S11" s="137">
        <v>125089.79562681676</v>
      </c>
      <c r="T11" s="137">
        <v>143404.26542987788</v>
      </c>
      <c r="U11" s="137">
        <v>155713.1997047537</v>
      </c>
      <c r="V11" s="137">
        <v>168322.7740649968</v>
      </c>
      <c r="W11" s="137">
        <v>181230.96166803362</v>
      </c>
      <c r="X11" s="137">
        <v>181607.9767576356</v>
      </c>
      <c r="Y11" s="137">
        <v>182023.3494480963</v>
      </c>
      <c r="Z11" s="137">
        <v>182386.78839021991</v>
      </c>
      <c r="AA11" s="137">
        <v>182749.95564171695</v>
      </c>
      <c r="AB11" s="138">
        <v>183096.63918126476</v>
      </c>
      <c r="AC11" s="29"/>
      <c r="AD11" s="3" t="s">
        <v>6</v>
      </c>
      <c r="AE11" s="40">
        <v>4158158</v>
      </c>
      <c r="AF11" s="40">
        <v>4143021</v>
      </c>
      <c r="AG11" s="40">
        <v>4128755</v>
      </c>
      <c r="AH11" s="40">
        <v>4114668</v>
      </c>
      <c r="AI11" s="40">
        <v>4104897</v>
      </c>
      <c r="AJ11" s="40">
        <v>4100971</v>
      </c>
      <c r="AK11" s="40">
        <v>4103361</v>
      </c>
      <c r="AL11" s="40">
        <v>4105620</v>
      </c>
      <c r="AM11" s="40">
        <v>4111092</v>
      </c>
      <c r="AN11" s="40">
        <v>4113758</v>
      </c>
      <c r="AO11" s="40">
        <v>4115991</v>
      </c>
      <c r="AP11" s="40">
        <v>4115088</v>
      </c>
      <c r="AR11" s="3" t="s">
        <v>6</v>
      </c>
      <c r="AS11" s="12">
        <v>2.9250000000000003</v>
      </c>
      <c r="AT11" s="12">
        <f t="shared" si="11"/>
        <v>3.5961254155201918</v>
      </c>
      <c r="AU11" s="12">
        <f t="shared" si="0"/>
        <v>3.40375304704349</v>
      </c>
      <c r="AV11" s="12">
        <f t="shared" si="1"/>
        <v>3.0297219289305559</v>
      </c>
      <c r="AW11" s="12">
        <f t="shared" si="2"/>
        <v>3.4851965074673799</v>
      </c>
      <c r="AX11" s="12">
        <f t="shared" si="3"/>
        <v>3.7933521767964873</v>
      </c>
      <c r="AY11" s="12">
        <f t="shared" si="4"/>
        <v>4.1044614571767708</v>
      </c>
      <c r="AZ11" s="12">
        <f t="shared" si="5"/>
        <v>4.4166467846244482</v>
      </c>
      <c r="BA11" s="12">
        <f t="shared" si="6"/>
        <v>4.4233995537247868</v>
      </c>
      <c r="BB11" s="12">
        <f t="shared" si="7"/>
        <v>4.4276155690044474</v>
      </c>
      <c r="BC11" s="12">
        <f t="shared" si="8"/>
        <v>4.4335808861440054</v>
      </c>
      <c r="BD11" s="12">
        <f t="shared" si="9"/>
        <v>4.4399989125757795</v>
      </c>
      <c r="BE11" s="12">
        <f t="shared" si="10"/>
        <v>4.4493979030646429</v>
      </c>
    </row>
    <row r="12" spans="1:57" x14ac:dyDescent="0.2">
      <c r="A12" s="3" t="s">
        <v>6</v>
      </c>
      <c r="B12" s="6">
        <v>54864.243000000009</v>
      </c>
      <c r="C12" s="6">
        <v>128016.56700000001</v>
      </c>
      <c r="D12" s="6">
        <v>118872.52650000001</v>
      </c>
      <c r="F12" s="3" t="s">
        <v>6</v>
      </c>
      <c r="G12" s="2" t="s">
        <v>23</v>
      </c>
      <c r="H12" s="12">
        <v>2.9250000000000003</v>
      </c>
      <c r="I12" s="12">
        <v>4.0500000000000007</v>
      </c>
      <c r="J12" s="12">
        <v>9.4500000000000011</v>
      </c>
      <c r="K12" s="12">
        <v>8.7750000000000021</v>
      </c>
      <c r="L12" s="23">
        <v>0.4</v>
      </c>
      <c r="M12" s="6">
        <f t="shared" si="12"/>
        <v>16632.632000000001</v>
      </c>
      <c r="P12" s="136" t="s">
        <v>7</v>
      </c>
      <c r="Q12" s="137">
        <v>29919.347613089136</v>
      </c>
      <c r="R12" s="137">
        <v>33003.094854341733</v>
      </c>
      <c r="S12" s="137">
        <v>34304.171637697946</v>
      </c>
      <c r="T12" s="137">
        <v>39369.347871418824</v>
      </c>
      <c r="U12" s="137">
        <v>42735.347510945205</v>
      </c>
      <c r="V12" s="137">
        <v>46108.455740371268</v>
      </c>
      <c r="W12" s="137">
        <v>49440.215695283303</v>
      </c>
      <c r="X12" s="137">
        <v>49438.231418472336</v>
      </c>
      <c r="Y12" s="137">
        <v>49402.678320886567</v>
      </c>
      <c r="Z12" s="137">
        <v>49380.154479771096</v>
      </c>
      <c r="AA12" s="137">
        <v>49390.270489948933</v>
      </c>
      <c r="AB12" s="138">
        <v>49350.268132899422</v>
      </c>
      <c r="AC12" s="29"/>
      <c r="AD12" s="3" t="s">
        <v>7</v>
      </c>
      <c r="AE12" s="40">
        <v>943975</v>
      </c>
      <c r="AF12" s="40">
        <v>947118</v>
      </c>
      <c r="AG12" s="40">
        <v>947359</v>
      </c>
      <c r="AH12" s="40">
        <v>945194</v>
      </c>
      <c r="AI12" s="40">
        <v>942667</v>
      </c>
      <c r="AJ12" s="40">
        <v>939988</v>
      </c>
      <c r="AK12" s="40">
        <v>936675</v>
      </c>
      <c r="AL12" s="40">
        <v>935209</v>
      </c>
      <c r="AM12" s="40">
        <v>933648</v>
      </c>
      <c r="AN12" s="40">
        <v>931968</v>
      </c>
      <c r="AO12" s="40">
        <v>930813</v>
      </c>
      <c r="AP12" s="40">
        <v>928096</v>
      </c>
      <c r="AR12" s="3" t="s">
        <v>7</v>
      </c>
      <c r="AS12" s="12">
        <v>2.9750000000000001</v>
      </c>
      <c r="AT12" s="12">
        <f t="shared" si="11"/>
        <v>3.169506354838755</v>
      </c>
      <c r="AU12" s="12">
        <f t="shared" si="0"/>
        <v>3.4845811033410548</v>
      </c>
      <c r="AV12" s="12">
        <f t="shared" si="1"/>
        <v>3.621031904240942</v>
      </c>
      <c r="AW12" s="12">
        <f t="shared" si="2"/>
        <v>4.1652134769601608</v>
      </c>
      <c r="AX12" s="12">
        <f t="shared" si="3"/>
        <v>4.5334511031939382</v>
      </c>
      <c r="AY12" s="12">
        <f t="shared" si="4"/>
        <v>4.9052174857946351</v>
      </c>
      <c r="AZ12" s="12">
        <f t="shared" si="5"/>
        <v>5.2782678832341317</v>
      </c>
      <c r="BA12" s="12">
        <f t="shared" si="6"/>
        <v>5.2863297314795235</v>
      </c>
      <c r="BB12" s="12">
        <f t="shared" si="7"/>
        <v>5.2913601615262458</v>
      </c>
      <c r="BC12" s="12">
        <f t="shared" si="8"/>
        <v>5.2984817590057922</v>
      </c>
      <c r="BD12" s="12">
        <f t="shared" si="9"/>
        <v>5.3061431769806537</v>
      </c>
      <c r="BE12" s="12">
        <f t="shared" si="10"/>
        <v>5.31736675224324</v>
      </c>
    </row>
    <row r="13" spans="1:57" x14ac:dyDescent="0.2">
      <c r="A13" s="3" t="s">
        <v>7</v>
      </c>
      <c r="B13" s="6">
        <v>16631.982499999998</v>
      </c>
      <c r="C13" s="6">
        <v>23284.775500000003</v>
      </c>
      <c r="D13" s="6">
        <v>28274.37025</v>
      </c>
      <c r="F13" s="3" t="s">
        <v>7</v>
      </c>
      <c r="G13" s="2" t="s">
        <v>15</v>
      </c>
      <c r="H13" s="12">
        <v>2.9750000000000001</v>
      </c>
      <c r="I13" s="12">
        <v>5.25</v>
      </c>
      <c r="J13" s="12">
        <v>7.3500000000000005</v>
      </c>
      <c r="K13" s="12">
        <v>8.9250000000000007</v>
      </c>
      <c r="L13" s="23">
        <v>0.6</v>
      </c>
      <c r="M13" s="6">
        <f t="shared" si="12"/>
        <v>5663.85</v>
      </c>
      <c r="P13" s="136" t="s">
        <v>8</v>
      </c>
      <c r="Q13" s="137">
        <v>1947756.7548217068</v>
      </c>
      <c r="R13" s="137">
        <v>2118002.350046854</v>
      </c>
      <c r="S13" s="137">
        <v>2173776.7431640653</v>
      </c>
      <c r="T13" s="137">
        <v>2516162.4738659775</v>
      </c>
      <c r="U13" s="137">
        <v>2752331.5264378013</v>
      </c>
      <c r="V13" s="137">
        <v>2987478.9773212895</v>
      </c>
      <c r="W13" s="137">
        <v>3224711.4739994453</v>
      </c>
      <c r="X13" s="137">
        <v>3241312.1096560527</v>
      </c>
      <c r="Y13" s="137">
        <v>3256901.3785805916</v>
      </c>
      <c r="Z13" s="137">
        <v>3268922.0871306499</v>
      </c>
      <c r="AA13" s="137">
        <v>3280238.4007767597</v>
      </c>
      <c r="AB13" s="138">
        <v>3293322.6838316899</v>
      </c>
      <c r="AC13" s="29"/>
      <c r="AD13" s="3" t="s">
        <v>8</v>
      </c>
      <c r="AE13" s="40">
        <v>34089330</v>
      </c>
      <c r="AF13" s="40">
        <v>34367075</v>
      </c>
      <c r="AG13" s="40">
        <v>34572345</v>
      </c>
      <c r="AH13" s="40">
        <v>34785160</v>
      </c>
      <c r="AI13" s="40">
        <v>34958503</v>
      </c>
      <c r="AJ13" s="40">
        <v>35068526</v>
      </c>
      <c r="AK13" s="40">
        <v>35177198</v>
      </c>
      <c r="AL13" s="40">
        <v>35304214</v>
      </c>
      <c r="AM13" s="40">
        <v>35440139</v>
      </c>
      <c r="AN13" s="40">
        <v>35522996</v>
      </c>
      <c r="AO13" s="40">
        <v>35594342</v>
      </c>
      <c r="AP13" s="40">
        <v>35660727</v>
      </c>
      <c r="AR13" s="3" t="s">
        <v>8</v>
      </c>
      <c r="AS13" s="12">
        <v>5.5</v>
      </c>
      <c r="AT13" s="12">
        <f t="shared" si="11"/>
        <v>5.7136844720084161</v>
      </c>
      <c r="AU13" s="12">
        <f t="shared" si="0"/>
        <v>6.1628822064340767</v>
      </c>
      <c r="AV13" s="12">
        <f t="shared" si="1"/>
        <v>6.2876172940078705</v>
      </c>
      <c r="AW13" s="12">
        <f t="shared" si="2"/>
        <v>7.2334365397944911</v>
      </c>
      <c r="AX13" s="12">
        <f t="shared" si="3"/>
        <v>7.8731389797721061</v>
      </c>
      <c r="AY13" s="12">
        <f t="shared" si="4"/>
        <v>8.5189750413840883</v>
      </c>
      <c r="AZ13" s="12">
        <f t="shared" si="5"/>
        <v>9.1670504114609859</v>
      </c>
      <c r="BA13" s="12">
        <f t="shared" si="6"/>
        <v>9.1810912704530185</v>
      </c>
      <c r="BB13" s="12">
        <f t="shared" si="7"/>
        <v>9.189866265988945</v>
      </c>
      <c r="BC13" s="12">
        <f t="shared" si="8"/>
        <v>9.2022702339933531</v>
      </c>
      <c r="BD13" s="12">
        <f t="shared" si="9"/>
        <v>9.2156174730713101</v>
      </c>
      <c r="BE13" s="12">
        <f t="shared" si="10"/>
        <v>9.2351529564489532</v>
      </c>
    </row>
    <row r="14" spans="1:57" x14ac:dyDescent="0.2">
      <c r="A14" s="3" t="s">
        <v>8</v>
      </c>
      <c r="B14" s="6">
        <v>896152.46100000013</v>
      </c>
      <c r="C14" s="6">
        <v>1927573.2180000001</v>
      </c>
      <c r="D14" s="6">
        <v>1859939.0700000003</v>
      </c>
      <c r="F14" s="3" t="s">
        <v>8</v>
      </c>
      <c r="H14" s="12">
        <v>5.5</v>
      </c>
      <c r="I14" s="12">
        <v>7.9500000000000011</v>
      </c>
      <c r="J14" s="12">
        <v>17.100000000000001</v>
      </c>
      <c r="K14" s="12">
        <v>16.5</v>
      </c>
      <c r="L14" s="23">
        <v>0.8</v>
      </c>
      <c r="M14" s="6">
        <f t="shared" si="12"/>
        <v>272714.64</v>
      </c>
      <c r="P14" s="136" t="s">
        <v>9</v>
      </c>
      <c r="Q14" s="137">
        <v>124426.55616665242</v>
      </c>
      <c r="R14" s="137">
        <v>186325.62576787424</v>
      </c>
      <c r="S14" s="137">
        <v>238065.65360837351</v>
      </c>
      <c r="T14" s="137">
        <v>272897.91263793013</v>
      </c>
      <c r="U14" s="137">
        <v>295894.88569012837</v>
      </c>
      <c r="V14" s="137">
        <v>318889.5946012534</v>
      </c>
      <c r="W14" s="137">
        <v>341989.51857966051</v>
      </c>
      <c r="X14" s="137">
        <v>341571.43935128965</v>
      </c>
      <c r="Y14" s="137">
        <v>341264.50674973743</v>
      </c>
      <c r="Z14" s="137">
        <v>341016.70601025253</v>
      </c>
      <c r="AA14" s="137">
        <v>341076.02034748218</v>
      </c>
      <c r="AB14" s="138">
        <v>341215.60689129453</v>
      </c>
      <c r="AC14" s="29"/>
      <c r="AD14" s="3" t="s">
        <v>9</v>
      </c>
      <c r="AE14" s="40">
        <v>3947859</v>
      </c>
      <c r="AF14" s="40">
        <v>3953279</v>
      </c>
      <c r="AG14" s="40">
        <v>3945239</v>
      </c>
      <c r="AH14" s="40">
        <v>3930864</v>
      </c>
      <c r="AI14" s="40">
        <v>3915755</v>
      </c>
      <c r="AJ14" s="40">
        <v>3900078</v>
      </c>
      <c r="AK14" s="40">
        <v>3886855</v>
      </c>
      <c r="AL14" s="40">
        <v>3876157</v>
      </c>
      <c r="AM14" s="40">
        <v>3868967</v>
      </c>
      <c r="AN14" s="40">
        <v>3860938</v>
      </c>
      <c r="AO14" s="40">
        <v>3856007</v>
      </c>
      <c r="AP14" s="40">
        <v>3849415</v>
      </c>
      <c r="AR14" s="3" t="s">
        <v>9</v>
      </c>
      <c r="AS14" s="12">
        <v>1.75</v>
      </c>
      <c r="AT14" s="12">
        <f t="shared" si="11"/>
        <v>3.1517477236814289</v>
      </c>
      <c r="AU14" s="12">
        <f t="shared" si="0"/>
        <v>4.7131919039327661</v>
      </c>
      <c r="AV14" s="12">
        <f t="shared" si="1"/>
        <v>6.0342517553023658</v>
      </c>
      <c r="AW14" s="12">
        <f t="shared" si="2"/>
        <v>6.9424409655976431</v>
      </c>
      <c r="AX14" s="12">
        <f t="shared" si="3"/>
        <v>7.5565219399612173</v>
      </c>
      <c r="AY14" s="12">
        <f t="shared" si="4"/>
        <v>8.1764927419721705</v>
      </c>
      <c r="AZ14" s="12">
        <f t="shared" si="5"/>
        <v>8.7986178691940022</v>
      </c>
      <c r="BA14" s="12">
        <f t="shared" si="6"/>
        <v>8.8121156947793811</v>
      </c>
      <c r="BB14" s="12">
        <f t="shared" si="7"/>
        <v>8.8205587369894189</v>
      </c>
      <c r="BC14" s="12">
        <f t="shared" si="8"/>
        <v>8.8324833501665285</v>
      </c>
      <c r="BD14" s="12">
        <f t="shared" si="9"/>
        <v>8.8453164205221153</v>
      </c>
      <c r="BE14" s="12">
        <f t="shared" si="10"/>
        <v>8.8640899173327519</v>
      </c>
    </row>
    <row r="15" spans="1:57" x14ac:dyDescent="0.2">
      <c r="A15" s="3" t="s">
        <v>9</v>
      </c>
      <c r="B15" s="6">
        <v>29402.7</v>
      </c>
      <c r="C15" s="6">
        <v>78407.199999999997</v>
      </c>
      <c r="D15" s="6">
        <v>68606.3</v>
      </c>
      <c r="F15" s="3" t="s">
        <v>9</v>
      </c>
      <c r="H15" s="12">
        <v>1.75</v>
      </c>
      <c r="I15" s="12">
        <v>2.25</v>
      </c>
      <c r="J15" s="12">
        <v>6</v>
      </c>
      <c r="K15" s="12">
        <v>5.25</v>
      </c>
      <c r="L15" s="23">
        <v>1.6</v>
      </c>
      <c r="M15" s="6">
        <f t="shared" si="12"/>
        <v>63165.744000000006</v>
      </c>
      <c r="P15" s="136" t="s">
        <v>10</v>
      </c>
      <c r="Q15" s="137">
        <v>1386856.1191053456</v>
      </c>
      <c r="R15" s="137">
        <v>1496494.7317386537</v>
      </c>
      <c r="S15" s="137">
        <v>1527454.5171730868</v>
      </c>
      <c r="T15" s="137">
        <v>1756520.5948888715</v>
      </c>
      <c r="U15" s="137">
        <v>1910365.9374491037</v>
      </c>
      <c r="V15" s="137">
        <v>2065485.1234626488</v>
      </c>
      <c r="W15" s="137">
        <v>2222400.4804861601</v>
      </c>
      <c r="X15" s="137">
        <v>2224693.8348788749</v>
      </c>
      <c r="Y15" s="137">
        <v>2227694.4437995339</v>
      </c>
      <c r="Z15" s="137">
        <v>2230903.2992478264</v>
      </c>
      <c r="AA15" s="137">
        <v>2235499.3990233163</v>
      </c>
      <c r="AB15" s="138">
        <v>2240293.5958263204</v>
      </c>
      <c r="AC15" s="29"/>
      <c r="AD15" s="3" t="s">
        <v>10</v>
      </c>
      <c r="AE15" s="40">
        <v>46179908</v>
      </c>
      <c r="AF15" s="40">
        <v>46343743</v>
      </c>
      <c r="AG15" s="40">
        <v>46497603</v>
      </c>
      <c r="AH15" s="40">
        <v>46488803</v>
      </c>
      <c r="AI15" s="40">
        <v>46454539</v>
      </c>
      <c r="AJ15" s="40">
        <v>46420673</v>
      </c>
      <c r="AK15" s="40">
        <v>46417841</v>
      </c>
      <c r="AL15" s="40">
        <v>46395019</v>
      </c>
      <c r="AM15" s="40">
        <v>46413565</v>
      </c>
      <c r="AN15" s="40">
        <v>46418073</v>
      </c>
      <c r="AO15" s="40">
        <v>46446689</v>
      </c>
      <c r="AP15" s="40">
        <v>46448201</v>
      </c>
      <c r="AR15" s="3" t="s">
        <v>10</v>
      </c>
      <c r="AS15" s="12">
        <v>2.9</v>
      </c>
      <c r="AT15" s="12">
        <f t="shared" si="11"/>
        <v>3.0031591208569441</v>
      </c>
      <c r="AU15" s="12">
        <f t="shared" si="0"/>
        <v>3.2291192615552302</v>
      </c>
      <c r="AV15" s="12">
        <f t="shared" si="1"/>
        <v>3.2850177613953275</v>
      </c>
      <c r="AW15" s="12">
        <f t="shared" si="2"/>
        <v>3.778373461000645</v>
      </c>
      <c r="AX15" s="12">
        <f t="shared" si="3"/>
        <v>4.1123342919173167</v>
      </c>
      <c r="AY15" s="12">
        <f t="shared" si="4"/>
        <v>4.4494941369390499</v>
      </c>
      <c r="AZ15" s="12">
        <f t="shared" si="5"/>
        <v>4.7878152723349636</v>
      </c>
      <c r="BA15" s="12">
        <f t="shared" si="6"/>
        <v>4.7951135333706301</v>
      </c>
      <c r="BB15" s="12">
        <f t="shared" si="7"/>
        <v>4.7996624344618519</v>
      </c>
      <c r="BC15" s="12">
        <f t="shared" si="8"/>
        <v>4.8061092481108085</v>
      </c>
      <c r="BD15" s="12">
        <f t="shared" si="9"/>
        <v>4.8130436144184925</v>
      </c>
      <c r="BE15" s="12">
        <f t="shared" si="10"/>
        <v>4.8232085368092523</v>
      </c>
    </row>
    <row r="16" spans="1:57" x14ac:dyDescent="0.2">
      <c r="A16" s="3" t="s">
        <v>10</v>
      </c>
      <c r="B16" s="6">
        <v>638401.83400000003</v>
      </c>
      <c r="C16" s="6">
        <v>1368003.93</v>
      </c>
      <c r="D16" s="6">
        <v>1322403.7990000001</v>
      </c>
      <c r="F16" s="3" t="s">
        <v>10</v>
      </c>
      <c r="H16" s="12">
        <v>2.9</v>
      </c>
      <c r="I16" s="12">
        <v>4.1999999999999993</v>
      </c>
      <c r="J16" s="12">
        <v>9</v>
      </c>
      <c r="K16" s="12">
        <v>8.6999999999999993</v>
      </c>
      <c r="L16" s="23">
        <v>2.9</v>
      </c>
      <c r="M16" s="6">
        <f t="shared" si="12"/>
        <v>1339217.3319999999</v>
      </c>
      <c r="P16" s="136" t="s">
        <v>11</v>
      </c>
      <c r="Q16" s="137">
        <v>276414.70577065164</v>
      </c>
      <c r="R16" s="137">
        <v>304928.45761306555</v>
      </c>
      <c r="S16" s="137">
        <v>316955.126795505</v>
      </c>
      <c r="T16" s="137">
        <v>362952.41245844041</v>
      </c>
      <c r="U16" s="137">
        <v>393251.73081664497</v>
      </c>
      <c r="V16" s="137">
        <v>423619.12963141431</v>
      </c>
      <c r="W16" s="137">
        <v>453959.06388980488</v>
      </c>
      <c r="X16" s="137">
        <v>452769.61396619666</v>
      </c>
      <c r="Y16" s="137">
        <v>451633.96344648406</v>
      </c>
      <c r="Z16" s="137">
        <v>450859.20982980554</v>
      </c>
      <c r="AA16" s="137">
        <v>449991.98915758351</v>
      </c>
      <c r="AB16" s="138">
        <v>448981.95662902662</v>
      </c>
      <c r="AC16" s="29"/>
      <c r="AD16" s="3" t="s">
        <v>11</v>
      </c>
      <c r="AE16" s="40">
        <v>7663831</v>
      </c>
      <c r="AF16" s="40">
        <v>7640563</v>
      </c>
      <c r="AG16" s="40">
        <v>7610732</v>
      </c>
      <c r="AH16" s="40">
        <v>7577234</v>
      </c>
      <c r="AI16" s="40">
        <v>7543068</v>
      </c>
      <c r="AJ16" s="40">
        <v>7509839</v>
      </c>
      <c r="AK16" s="40">
        <v>7479024</v>
      </c>
      <c r="AL16" s="40">
        <v>7448074</v>
      </c>
      <c r="AM16" s="40">
        <v>7422351</v>
      </c>
      <c r="AN16" s="40">
        <v>7399679</v>
      </c>
      <c r="AO16" s="40">
        <v>7374805</v>
      </c>
      <c r="AP16" s="40">
        <v>7342744</v>
      </c>
      <c r="AR16" s="3" t="s">
        <v>11</v>
      </c>
      <c r="AS16" s="12">
        <v>3.9249999999999998</v>
      </c>
      <c r="AT16" s="12">
        <f t="shared" si="11"/>
        <v>3.6067432302545765</v>
      </c>
      <c r="AU16" s="12">
        <f t="shared" si="0"/>
        <v>3.9909160831873978</v>
      </c>
      <c r="AV16" s="12">
        <f t="shared" si="1"/>
        <v>4.1645813674099283</v>
      </c>
      <c r="AW16" s="12">
        <f t="shared" si="2"/>
        <v>4.7900383234626309</v>
      </c>
      <c r="AX16" s="12">
        <f t="shared" si="3"/>
        <v>5.2134188743445629</v>
      </c>
      <c r="AY16" s="12">
        <f t="shared" si="4"/>
        <v>5.6408550120903307</v>
      </c>
      <c r="AZ16" s="12">
        <f t="shared" si="5"/>
        <v>6.0697634328998653</v>
      </c>
      <c r="BA16" s="12">
        <f t="shared" si="6"/>
        <v>6.0790160512126574</v>
      </c>
      <c r="BB16" s="12">
        <f t="shared" si="7"/>
        <v>6.0847831562598431</v>
      </c>
      <c r="BC16" s="12">
        <f t="shared" si="8"/>
        <v>6.0929563272921108</v>
      </c>
      <c r="BD16" s="12">
        <f t="shared" si="9"/>
        <v>6.101747628006212</v>
      </c>
      <c r="BE16" s="12">
        <f t="shared" si="10"/>
        <v>6.1146344830900627</v>
      </c>
    </row>
    <row r="17" spans="1:57" x14ac:dyDescent="0.2">
      <c r="A17" s="3" t="s">
        <v>11</v>
      </c>
      <c r="B17" s="6">
        <v>151805.16</v>
      </c>
      <c r="C17" s="6">
        <v>307502.76</v>
      </c>
      <c r="D17" s="6">
        <v>305556.54000000004</v>
      </c>
      <c r="F17" s="3" t="s">
        <v>11</v>
      </c>
      <c r="G17" s="2" t="s">
        <v>5</v>
      </c>
      <c r="H17" s="12">
        <v>3.9249999999999998</v>
      </c>
      <c r="I17" s="12">
        <v>5.85</v>
      </c>
      <c r="J17" s="12">
        <v>11.850000000000001</v>
      </c>
      <c r="K17" s="12">
        <v>11.775</v>
      </c>
      <c r="L17" s="23">
        <v>0.5</v>
      </c>
      <c r="M17" s="6">
        <f t="shared" si="12"/>
        <v>38319.154999999999</v>
      </c>
      <c r="P17" s="136" t="s">
        <v>26</v>
      </c>
      <c r="Q17" s="137">
        <v>81455.063102411106</v>
      </c>
      <c r="R17" s="137">
        <v>90741.12598700021</v>
      </c>
      <c r="S17" s="137">
        <v>95137.009552034971</v>
      </c>
      <c r="T17" s="137">
        <v>108688.35571888492</v>
      </c>
      <c r="U17" s="137">
        <v>117400.39247946296</v>
      </c>
      <c r="V17" s="137">
        <v>126134.10282655054</v>
      </c>
      <c r="W17" s="137">
        <v>134612.00584389112</v>
      </c>
      <c r="X17" s="137">
        <v>133719.74766571389</v>
      </c>
      <c r="Y17" s="137">
        <v>132935.3875873363</v>
      </c>
      <c r="Z17" s="137">
        <v>132099.96760272706</v>
      </c>
      <c r="AA17" s="137">
        <v>131223.76542825488</v>
      </c>
      <c r="AB17" s="138">
        <v>130290.17242023011</v>
      </c>
      <c r="AC17" s="29"/>
      <c r="AD17" s="3" t="s">
        <v>26</v>
      </c>
      <c r="AE17" s="40">
        <v>2985275</v>
      </c>
      <c r="AF17" s="40">
        <v>2975045</v>
      </c>
      <c r="AG17" s="40">
        <v>2963673</v>
      </c>
      <c r="AH17" s="40">
        <v>2943721</v>
      </c>
      <c r="AI17" s="40">
        <v>2921458</v>
      </c>
      <c r="AJ17" s="40">
        <v>2900951</v>
      </c>
      <c r="AK17" s="40">
        <v>2877166</v>
      </c>
      <c r="AL17" s="40">
        <v>2853745</v>
      </c>
      <c r="AM17" s="40">
        <v>2834317</v>
      </c>
      <c r="AN17" s="40">
        <v>2812727</v>
      </c>
      <c r="AO17" s="40">
        <v>2790045</v>
      </c>
      <c r="AP17" s="40">
        <v>2764357</v>
      </c>
      <c r="AR17" s="3" t="s">
        <v>26</v>
      </c>
      <c r="AS17" s="12">
        <v>2.5250000000000004</v>
      </c>
      <c r="AT17" s="12">
        <f t="shared" si="11"/>
        <v>2.7285614592428202</v>
      </c>
      <c r="AU17" s="12">
        <f t="shared" si="0"/>
        <v>3.0500757463164492</v>
      </c>
      <c r="AV17" s="12">
        <f t="shared" si="1"/>
        <v>3.2101048108895611</v>
      </c>
      <c r="AW17" s="12">
        <f t="shared" si="2"/>
        <v>3.6922098160418368</v>
      </c>
      <c r="AX17" s="12">
        <f t="shared" si="3"/>
        <v>4.0185548612871713</v>
      </c>
      <c r="AY17" s="12">
        <f t="shared" si="4"/>
        <v>4.3480259689512355</v>
      </c>
      <c r="AZ17" s="12">
        <f t="shared" si="5"/>
        <v>4.6786318844269372</v>
      </c>
      <c r="BA17" s="12">
        <f t="shared" si="6"/>
        <v>4.6857637127954286</v>
      </c>
      <c r="BB17" s="12">
        <f t="shared" si="7"/>
        <v>4.6902088787999476</v>
      </c>
      <c r="BC17" s="12">
        <f t="shared" si="8"/>
        <v>4.6965086765522237</v>
      </c>
      <c r="BD17" s="12">
        <f t="shared" si="9"/>
        <v>4.7032849086037993</v>
      </c>
      <c r="BE17" s="12">
        <f t="shared" si="10"/>
        <v>4.7132180257553609</v>
      </c>
    </row>
    <row r="18" spans="1:57" x14ac:dyDescent="0.2">
      <c r="A18" s="3" t="s">
        <v>26</v>
      </c>
      <c r="B18" s="6">
        <v>33966.470999999998</v>
      </c>
      <c r="C18" s="6">
        <v>88004.038499999995</v>
      </c>
      <c r="D18" s="6">
        <v>77968.490250000003</v>
      </c>
      <c r="F18" s="3" t="s">
        <v>26</v>
      </c>
      <c r="H18" s="12">
        <v>2.5250000000000004</v>
      </c>
      <c r="I18" s="12">
        <v>3.3000000000000003</v>
      </c>
      <c r="J18" s="12">
        <v>8.5500000000000007</v>
      </c>
      <c r="K18" s="12">
        <v>7.5750000000000011</v>
      </c>
      <c r="L18" s="23">
        <v>0.7</v>
      </c>
      <c r="M18" s="6">
        <f t="shared" si="12"/>
        <v>20896.924999999999</v>
      </c>
      <c r="P18" s="136" t="s">
        <v>12</v>
      </c>
      <c r="Q18" s="137">
        <v>261610.72068912929</v>
      </c>
      <c r="R18" s="137">
        <v>349372.46350808261</v>
      </c>
      <c r="S18" s="137">
        <v>419182.16234399512</v>
      </c>
      <c r="T18" s="137">
        <v>481641.10874951707</v>
      </c>
      <c r="U18" s="137">
        <v>522179.07243532967</v>
      </c>
      <c r="V18" s="137">
        <v>562835.55099739693</v>
      </c>
      <c r="W18" s="137">
        <v>603519.67432537558</v>
      </c>
      <c r="X18" s="137">
        <v>601633.9728209785</v>
      </c>
      <c r="Y18" s="137">
        <v>599770.84994718072</v>
      </c>
      <c r="Z18" s="137">
        <v>598100.44765385473</v>
      </c>
      <c r="AA18" s="137">
        <v>595103.54291299696</v>
      </c>
      <c r="AB18" s="138">
        <v>591582.61952434352</v>
      </c>
      <c r="AC18" s="29"/>
      <c r="AD18" s="3" t="s">
        <v>12</v>
      </c>
      <c r="AE18" s="40">
        <v>7263865</v>
      </c>
      <c r="AF18" s="40">
        <v>7241941</v>
      </c>
      <c r="AG18" s="40">
        <v>7224487</v>
      </c>
      <c r="AH18" s="40">
        <v>7203129</v>
      </c>
      <c r="AI18" s="40">
        <v>7172206</v>
      </c>
      <c r="AJ18" s="40">
        <v>7142247</v>
      </c>
      <c r="AK18" s="40">
        <v>7115013</v>
      </c>
      <c r="AL18" s="40">
        <v>7081512</v>
      </c>
      <c r="AM18" s="40">
        <v>7052432</v>
      </c>
      <c r="AN18" s="40">
        <v>7022935</v>
      </c>
      <c r="AO18" s="40">
        <v>6977192</v>
      </c>
      <c r="AP18" s="40">
        <v>6920796</v>
      </c>
      <c r="AR18" s="3" t="s">
        <v>12</v>
      </c>
      <c r="AS18" s="12">
        <v>2.5499999999999998</v>
      </c>
      <c r="AT18" s="12">
        <f t="shared" si="11"/>
        <v>3.6015361063170817</v>
      </c>
      <c r="AU18" s="12">
        <f t="shared" si="0"/>
        <v>4.824293148868275</v>
      </c>
      <c r="AV18" s="12">
        <f t="shared" si="1"/>
        <v>5.8022412157983689</v>
      </c>
      <c r="AW18" s="12">
        <f t="shared" si="2"/>
        <v>6.6865539788266606</v>
      </c>
      <c r="AX18" s="12">
        <f t="shared" si="3"/>
        <v>7.28059222553465</v>
      </c>
      <c r="AY18" s="12">
        <f t="shared" si="4"/>
        <v>7.8803708552420115</v>
      </c>
      <c r="AZ18" s="12">
        <f t="shared" si="5"/>
        <v>8.4823411331135379</v>
      </c>
      <c r="BA18" s="12">
        <f t="shared" si="6"/>
        <v>8.4958406173847969</v>
      </c>
      <c r="BB18" s="12">
        <f t="shared" si="7"/>
        <v>8.5044542073880436</v>
      </c>
      <c r="BC18" s="12">
        <f t="shared" si="8"/>
        <v>8.5163887698498524</v>
      </c>
      <c r="BD18" s="12">
        <f t="shared" si="9"/>
        <v>8.5292699830103125</v>
      </c>
      <c r="BE18" s="12">
        <f t="shared" si="10"/>
        <v>8.5478985296538657</v>
      </c>
    </row>
    <row r="19" spans="1:57" x14ac:dyDescent="0.2">
      <c r="A19" s="3" t="s">
        <v>12</v>
      </c>
      <c r="B19" s="6">
        <v>103358.78</v>
      </c>
      <c r="C19" s="6">
        <v>169803.71</v>
      </c>
      <c r="D19" s="6">
        <v>188260.63500000001</v>
      </c>
      <c r="F19" s="3" t="s">
        <v>12</v>
      </c>
      <c r="H19" s="12">
        <v>2.5499999999999998</v>
      </c>
      <c r="I19" s="12">
        <v>4.1999999999999993</v>
      </c>
      <c r="J19" s="12">
        <v>6.8999999999999995</v>
      </c>
      <c r="K19" s="12">
        <v>7.6499999999999986</v>
      </c>
      <c r="L19" s="23">
        <v>0.1</v>
      </c>
      <c r="M19" s="6">
        <f t="shared" si="12"/>
        <v>7263.8649999999998</v>
      </c>
      <c r="P19" s="136" t="s">
        <v>13</v>
      </c>
      <c r="Q19" s="137">
        <v>134300.5193895307</v>
      </c>
      <c r="R19" s="137">
        <v>118485.27014529268</v>
      </c>
      <c r="S19" s="137">
        <v>95658.615612364141</v>
      </c>
      <c r="T19" s="137">
        <v>111576.85368387174</v>
      </c>
      <c r="U19" s="137">
        <v>122996.6947667299</v>
      </c>
      <c r="V19" s="137">
        <v>134653.47922417294</v>
      </c>
      <c r="W19" s="137">
        <v>146525.84194067342</v>
      </c>
      <c r="X19" s="137">
        <v>148382.54609501388</v>
      </c>
      <c r="Y19" s="137">
        <v>150179.51780619231</v>
      </c>
      <c r="Z19" s="137">
        <v>151974.32787770277</v>
      </c>
      <c r="AA19" s="137">
        <v>153749.1077504952</v>
      </c>
      <c r="AB19" s="138">
        <v>155503.73800586385</v>
      </c>
      <c r="AC19" s="29"/>
      <c r="AD19" s="3" t="s">
        <v>13</v>
      </c>
      <c r="AE19" s="40">
        <v>3413349</v>
      </c>
      <c r="AF19" s="40">
        <v>3462229</v>
      </c>
      <c r="AG19" s="40">
        <v>3515505</v>
      </c>
      <c r="AH19" s="40">
        <v>3564620</v>
      </c>
      <c r="AI19" s="40">
        <v>3610245</v>
      </c>
      <c r="AJ19" s="40">
        <v>3652816</v>
      </c>
      <c r="AK19" s="40">
        <v>3693924</v>
      </c>
      <c r="AL19" s="40">
        <v>3735021</v>
      </c>
      <c r="AM19" s="40">
        <v>3776654</v>
      </c>
      <c r="AN19" s="40">
        <v>3816647</v>
      </c>
      <c r="AO19" s="40">
        <v>3855637</v>
      </c>
      <c r="AP19" s="40">
        <v>3891401</v>
      </c>
      <c r="AR19" s="3" t="s">
        <v>13</v>
      </c>
      <c r="AS19" s="12">
        <v>4.5999999999999996</v>
      </c>
      <c r="AT19" s="12">
        <f t="shared" si="11"/>
        <v>3.9345674699402462</v>
      </c>
      <c r="AU19" s="12">
        <f t="shared" si="0"/>
        <v>3.4222251083129596</v>
      </c>
      <c r="AV19" s="12">
        <f t="shared" si="1"/>
        <v>2.7210490558927991</v>
      </c>
      <c r="AW19" s="12">
        <f t="shared" si="2"/>
        <v>3.1301191623194544</v>
      </c>
      <c r="AX19" s="12">
        <f t="shared" si="3"/>
        <v>3.4068794435482883</v>
      </c>
      <c r="AY19" s="12">
        <f t="shared" si="4"/>
        <v>3.6862924172521403</v>
      </c>
      <c r="AZ19" s="12">
        <f t="shared" si="5"/>
        <v>3.9666718086423387</v>
      </c>
      <c r="BA19" s="12">
        <f t="shared" si="6"/>
        <v>3.9727365949217925</v>
      </c>
      <c r="BB19" s="12">
        <f t="shared" si="7"/>
        <v>3.9765230758812509</v>
      </c>
      <c r="BC19" s="12">
        <f t="shared" si="8"/>
        <v>3.9818806370540103</v>
      </c>
      <c r="BD19" s="12">
        <f t="shared" si="9"/>
        <v>3.9876447847786292</v>
      </c>
      <c r="BE19" s="12">
        <f t="shared" si="10"/>
        <v>3.9960861912165786</v>
      </c>
    </row>
    <row r="20" spans="1:57" x14ac:dyDescent="0.2">
      <c r="A20" s="3" t="s">
        <v>13</v>
      </c>
      <c r="B20" s="6">
        <v>64838.58</v>
      </c>
      <c r="C20" s="6">
        <v>168580.30800000002</v>
      </c>
      <c r="D20" s="6">
        <v>149128.734</v>
      </c>
      <c r="F20" s="3" t="s">
        <v>13</v>
      </c>
      <c r="H20" s="12">
        <v>4.5999999999999996</v>
      </c>
      <c r="I20" s="12">
        <v>6</v>
      </c>
      <c r="J20" s="12">
        <v>15.600000000000001</v>
      </c>
      <c r="K20" s="12">
        <v>13.8</v>
      </c>
      <c r="L20" s="23">
        <v>2.1</v>
      </c>
      <c r="M20" s="6">
        <f t="shared" si="12"/>
        <v>71680.328999999998</v>
      </c>
      <c r="P20" s="136" t="s">
        <v>14</v>
      </c>
      <c r="Q20" s="137">
        <v>1660166.3965972762</v>
      </c>
      <c r="R20" s="137">
        <v>1919232.8915630486</v>
      </c>
      <c r="S20" s="137">
        <v>2079207.5595738029</v>
      </c>
      <c r="T20" s="137">
        <v>2385462.4923594221</v>
      </c>
      <c r="U20" s="137">
        <v>2591678.7405125918</v>
      </c>
      <c r="V20" s="137">
        <v>2799081.1972040217</v>
      </c>
      <c r="W20" s="137">
        <v>3009987.5782672819</v>
      </c>
      <c r="X20" s="137">
        <v>3013267.4879791322</v>
      </c>
      <c r="Y20" s="137">
        <v>3016732.0706526628</v>
      </c>
      <c r="Z20" s="137">
        <v>3020948.0491995187</v>
      </c>
      <c r="AA20" s="137">
        <v>3024294.15933121</v>
      </c>
      <c r="AB20" s="138">
        <v>3026647.6870478727</v>
      </c>
      <c r="AC20" s="29"/>
      <c r="AD20" s="3" t="s">
        <v>14</v>
      </c>
      <c r="AE20" s="40">
        <v>43621657</v>
      </c>
      <c r="AF20" s="40">
        <v>43619267</v>
      </c>
      <c r="AG20" s="40">
        <v>43650078</v>
      </c>
      <c r="AH20" s="40">
        <v>43550198</v>
      </c>
      <c r="AI20" s="40">
        <v>43474662</v>
      </c>
      <c r="AJ20" s="40">
        <v>43397696</v>
      </c>
      <c r="AK20" s="40">
        <v>43371626</v>
      </c>
      <c r="AL20" s="40">
        <v>43353141</v>
      </c>
      <c r="AM20" s="40">
        <v>43362181</v>
      </c>
      <c r="AN20" s="40">
        <v>43364838</v>
      </c>
      <c r="AO20" s="40">
        <v>43350675</v>
      </c>
      <c r="AP20" s="40">
        <v>43293341</v>
      </c>
      <c r="AR20" s="3" t="s">
        <v>14</v>
      </c>
      <c r="AS20" s="12">
        <v>3.375</v>
      </c>
      <c r="AT20" s="12">
        <f t="shared" si="11"/>
        <v>3.8058306602091623</v>
      </c>
      <c r="AU20" s="12">
        <f t="shared" si="0"/>
        <v>4.3999659406542726</v>
      </c>
      <c r="AV20" s="12">
        <f t="shared" si="1"/>
        <v>4.7633535948636858</v>
      </c>
      <c r="AW20" s="12">
        <f t="shared" si="2"/>
        <v>5.4775009113837374</v>
      </c>
      <c r="AX20" s="12">
        <f t="shared" si="3"/>
        <v>5.9613545483403456</v>
      </c>
      <c r="AY20" s="12">
        <f t="shared" si="4"/>
        <v>6.4498382522519666</v>
      </c>
      <c r="AZ20" s="12">
        <f t="shared" si="5"/>
        <v>6.9399924694252455</v>
      </c>
      <c r="BA20" s="12">
        <f t="shared" si="6"/>
        <v>6.9505171216524584</v>
      </c>
      <c r="BB20" s="12">
        <f t="shared" si="7"/>
        <v>6.9570579732893565</v>
      </c>
      <c r="BC20" s="12">
        <f t="shared" si="8"/>
        <v>6.9663538214982346</v>
      </c>
      <c r="BD20" s="12">
        <f t="shared" si="9"/>
        <v>6.9763484866872538</v>
      </c>
      <c r="BE20" s="12">
        <f t="shared" si="10"/>
        <v>6.9910236011766163</v>
      </c>
    </row>
    <row r="21" spans="1:57" x14ac:dyDescent="0.2">
      <c r="A21" s="3" t="s">
        <v>14</v>
      </c>
      <c r="B21" s="6">
        <v>682062.2790000001</v>
      </c>
      <c r="C21" s="6">
        <v>1606146.6569999999</v>
      </c>
      <c r="D21" s="6">
        <v>1485135.6074999999</v>
      </c>
      <c r="F21" s="3" t="s">
        <v>14</v>
      </c>
      <c r="H21" s="12">
        <v>3.375</v>
      </c>
      <c r="I21" s="12">
        <v>4.6500000000000004</v>
      </c>
      <c r="J21" s="12">
        <v>10.95</v>
      </c>
      <c r="K21" s="12">
        <v>10.125</v>
      </c>
      <c r="L21" s="23">
        <v>1.5</v>
      </c>
      <c r="M21" s="6">
        <f t="shared" si="12"/>
        <v>654324.85499999998</v>
      </c>
      <c r="P21" s="136" t="s">
        <v>15</v>
      </c>
      <c r="Q21" s="137">
        <v>61033.113765616697</v>
      </c>
      <c r="R21" s="137">
        <v>64364.606703309757</v>
      </c>
      <c r="S21" s="137">
        <v>64173.633877991422</v>
      </c>
      <c r="T21" s="137">
        <v>73531.36178222645</v>
      </c>
      <c r="U21" s="137">
        <v>79464.944713039265</v>
      </c>
      <c r="V21" s="137">
        <v>85057.315713074029</v>
      </c>
      <c r="W21" s="137">
        <v>90182.989716927143</v>
      </c>
      <c r="X21" s="137">
        <v>89150.157309888571</v>
      </c>
      <c r="Y21" s="137">
        <v>88178.623712587607</v>
      </c>
      <c r="Z21" s="137">
        <v>87333.263876820318</v>
      </c>
      <c r="AA21" s="137">
        <v>86557.46577172965</v>
      </c>
      <c r="AB21" s="138">
        <v>85789.312231854405</v>
      </c>
      <c r="AC21" s="29"/>
      <c r="AD21" s="3" t="s">
        <v>15</v>
      </c>
      <c r="AE21" s="40">
        <v>2017350</v>
      </c>
      <c r="AF21" s="40">
        <v>2019163</v>
      </c>
      <c r="AG21" s="40">
        <v>2014238</v>
      </c>
      <c r="AH21" s="40">
        <v>2006420</v>
      </c>
      <c r="AI21" s="40">
        <v>1992201</v>
      </c>
      <c r="AJ21" s="40">
        <v>1970788</v>
      </c>
      <c r="AK21" s="40">
        <v>1941868</v>
      </c>
      <c r="AL21" s="40">
        <v>1916701</v>
      </c>
      <c r="AM21" s="40">
        <v>1894011</v>
      </c>
      <c r="AN21" s="40">
        <v>1873332</v>
      </c>
      <c r="AO21" s="40">
        <v>1854010</v>
      </c>
      <c r="AP21" s="40">
        <v>1833678</v>
      </c>
      <c r="AR21" s="3" t="s">
        <v>15</v>
      </c>
      <c r="AS21" s="12">
        <v>2.9750000000000001</v>
      </c>
      <c r="AT21" s="12">
        <f t="shared" si="11"/>
        <v>3.0254102543245693</v>
      </c>
      <c r="AU21" s="12">
        <f t="shared" si="0"/>
        <v>3.1876875073141573</v>
      </c>
      <c r="AV21" s="12">
        <f t="shared" si="1"/>
        <v>3.186000555941821</v>
      </c>
      <c r="AW21" s="12">
        <f t="shared" si="2"/>
        <v>3.6648040680528728</v>
      </c>
      <c r="AX21" s="12">
        <f t="shared" si="3"/>
        <v>3.988801567363899</v>
      </c>
      <c r="AY21" s="12">
        <f t="shared" si="4"/>
        <v>4.3159038776912597</v>
      </c>
      <c r="AZ21" s="12">
        <f t="shared" si="5"/>
        <v>4.6441359411106804</v>
      </c>
      <c r="BA21" s="12">
        <f t="shared" si="6"/>
        <v>4.651229237626973</v>
      </c>
      <c r="BB21" s="12">
        <f t="shared" si="7"/>
        <v>4.6556553110086263</v>
      </c>
      <c r="BC21" s="12">
        <f t="shared" si="8"/>
        <v>4.6619213186354749</v>
      </c>
      <c r="BD21" s="12">
        <f t="shared" si="9"/>
        <v>4.6686622926375616</v>
      </c>
      <c r="BE21" s="12">
        <f t="shared" si="10"/>
        <v>4.6785374657848546</v>
      </c>
    </row>
    <row r="22" spans="1:57" x14ac:dyDescent="0.2">
      <c r="A22" s="3" t="s">
        <v>15</v>
      </c>
      <c r="B22" s="6">
        <v>37218.404999999999</v>
      </c>
      <c r="C22" s="6">
        <v>52105.767</v>
      </c>
      <c r="D22" s="6">
        <v>63271.288499999995</v>
      </c>
      <c r="F22" s="3" t="s">
        <v>15</v>
      </c>
      <c r="H22" s="12">
        <v>2.9750000000000001</v>
      </c>
      <c r="I22" s="12">
        <v>5.25</v>
      </c>
      <c r="J22" s="12">
        <v>7.3500000000000005</v>
      </c>
      <c r="K22" s="12">
        <v>8.9250000000000007</v>
      </c>
      <c r="L22" s="23">
        <v>0.2</v>
      </c>
      <c r="M22" s="6">
        <f t="shared" si="12"/>
        <v>4034.7</v>
      </c>
      <c r="P22" s="136" t="s">
        <v>16</v>
      </c>
      <c r="Q22" s="137">
        <v>16510.739275892287</v>
      </c>
      <c r="R22" s="137">
        <v>16115.873691215842</v>
      </c>
      <c r="S22" s="137">
        <v>14681.042535086186</v>
      </c>
      <c r="T22" s="137">
        <v>17076.133781496319</v>
      </c>
      <c r="U22" s="137">
        <v>18794.929278171723</v>
      </c>
      <c r="V22" s="137">
        <v>20557.385724579755</v>
      </c>
      <c r="W22" s="137">
        <v>22366.193641383685</v>
      </c>
      <c r="X22" s="137">
        <v>22608.820154839621</v>
      </c>
      <c r="Y22" s="137">
        <v>22846.601566098187</v>
      </c>
      <c r="Z22" s="137">
        <v>23069.478471002454</v>
      </c>
      <c r="AA22" s="137">
        <v>23292.353878690956</v>
      </c>
      <c r="AB22" s="138">
        <v>23503.81273735709</v>
      </c>
      <c r="AC22" s="29"/>
      <c r="AD22" s="3" t="s">
        <v>16</v>
      </c>
      <c r="AE22" s="40">
        <v>455473</v>
      </c>
      <c r="AF22" s="40">
        <v>465408</v>
      </c>
      <c r="AG22" s="40">
        <v>471161</v>
      </c>
      <c r="AH22" s="40">
        <v>476472</v>
      </c>
      <c r="AI22" s="40">
        <v>481843</v>
      </c>
      <c r="AJ22" s="40">
        <v>487092</v>
      </c>
      <c r="AK22" s="40">
        <v>492503</v>
      </c>
      <c r="AL22" s="40">
        <v>497088</v>
      </c>
      <c r="AM22" s="40">
        <v>501840</v>
      </c>
      <c r="AN22" s="40">
        <v>506056</v>
      </c>
      <c r="AO22" s="40">
        <v>510209</v>
      </c>
      <c r="AP22" s="40">
        <v>513756</v>
      </c>
      <c r="AR22" s="3" t="s">
        <v>16</v>
      </c>
      <c r="AS22" s="12">
        <v>3.9249999999999998</v>
      </c>
      <c r="AT22" s="12">
        <f t="shared" si="11"/>
        <v>3.6249655360234936</v>
      </c>
      <c r="AU22" s="12">
        <f t="shared" si="0"/>
        <v>3.4627410124483982</v>
      </c>
      <c r="AV22" s="12">
        <f t="shared" si="1"/>
        <v>3.115929063544348</v>
      </c>
      <c r="AW22" s="12">
        <f t="shared" si="2"/>
        <v>3.5838693105778132</v>
      </c>
      <c r="AX22" s="12">
        <f t="shared" si="3"/>
        <v>3.9006334590669001</v>
      </c>
      <c r="AY22" s="12">
        <f t="shared" si="4"/>
        <v>4.2204318125897684</v>
      </c>
      <c r="AZ22" s="12">
        <f t="shared" si="5"/>
        <v>4.5413314520690609</v>
      </c>
      <c r="BA22" s="12">
        <f t="shared" si="6"/>
        <v>4.5482530567705552</v>
      </c>
      <c r="BB22" s="12">
        <f t="shared" si="7"/>
        <v>4.5525668671485313</v>
      </c>
      <c r="BC22" s="12">
        <f t="shared" si="8"/>
        <v>4.5586809505276991</v>
      </c>
      <c r="BD22" s="12">
        <f t="shared" si="9"/>
        <v>4.565257351142562</v>
      </c>
      <c r="BE22" s="12">
        <f t="shared" si="10"/>
        <v>4.5748979549352393</v>
      </c>
    </row>
    <row r="23" spans="1:57" x14ac:dyDescent="0.2">
      <c r="A23" s="3" t="s">
        <v>16</v>
      </c>
      <c r="B23" s="6">
        <v>8035.052999999999</v>
      </c>
      <c r="C23" s="6">
        <v>16276.133</v>
      </c>
      <c r="D23" s="6">
        <v>16173.119499999999</v>
      </c>
      <c r="F23" s="3" t="s">
        <v>16</v>
      </c>
      <c r="G23" s="2" t="s">
        <v>5</v>
      </c>
      <c r="H23" s="12">
        <v>3.9249999999999998</v>
      </c>
      <c r="I23" s="12">
        <v>5.85</v>
      </c>
      <c r="J23" s="12">
        <v>11.850000000000001</v>
      </c>
      <c r="K23" s="12">
        <v>11.775</v>
      </c>
      <c r="L23" s="23">
        <v>1.2</v>
      </c>
      <c r="M23" s="6">
        <f t="shared" si="12"/>
        <v>5465.6759999999995</v>
      </c>
      <c r="P23" s="136" t="s">
        <v>17</v>
      </c>
      <c r="Q23" s="137">
        <v>53143.678662896549</v>
      </c>
      <c r="R23" s="137">
        <v>66434.862970455841</v>
      </c>
      <c r="S23" s="137">
        <v>76169.95331773677</v>
      </c>
      <c r="T23" s="137">
        <v>86934.344634271547</v>
      </c>
      <c r="U23" s="137">
        <v>93507.502123532235</v>
      </c>
      <c r="V23" s="137">
        <v>99856.37982426089</v>
      </c>
      <c r="W23" s="137">
        <v>105855.78847377162</v>
      </c>
      <c r="X23" s="137">
        <v>104759.73056120114</v>
      </c>
      <c r="Y23" s="137">
        <v>103666.29483215156</v>
      </c>
      <c r="Z23" s="137">
        <v>102529.6883238461</v>
      </c>
      <c r="AA23" s="137">
        <v>101350.40292746818</v>
      </c>
      <c r="AB23" s="138">
        <v>100145.40959603533</v>
      </c>
      <c r="AC23" s="29"/>
      <c r="AD23" s="3" t="s">
        <v>17</v>
      </c>
      <c r="AE23" s="40">
        <v>1368877</v>
      </c>
      <c r="AF23" s="40">
        <v>1356364</v>
      </c>
      <c r="AG23" s="40">
        <v>1345753</v>
      </c>
      <c r="AH23" s="40">
        <v>1333480</v>
      </c>
      <c r="AI23" s="40">
        <v>1317421</v>
      </c>
      <c r="AJ23" s="40">
        <v>1299916</v>
      </c>
      <c r="AK23" s="40">
        <v>1280331</v>
      </c>
      <c r="AL23" s="40">
        <v>1265083</v>
      </c>
      <c r="AM23" s="40">
        <v>1250632</v>
      </c>
      <c r="AN23" s="40">
        <v>1235206</v>
      </c>
      <c r="AO23" s="40">
        <v>1219177</v>
      </c>
      <c r="AP23" s="40">
        <v>1202079</v>
      </c>
      <c r="AR23" s="3" t="s">
        <v>17</v>
      </c>
      <c r="AS23" s="12">
        <v>2.9750000000000001</v>
      </c>
      <c r="AT23" s="12">
        <f t="shared" si="11"/>
        <v>3.8822829708510369</v>
      </c>
      <c r="AU23" s="12">
        <f t="shared" si="0"/>
        <v>4.8980113723495933</v>
      </c>
      <c r="AV23" s="12">
        <f t="shared" si="1"/>
        <v>5.6600247829829673</v>
      </c>
      <c r="AW23" s="12">
        <f t="shared" si="2"/>
        <v>6.5193587181113735</v>
      </c>
      <c r="AX23" s="12">
        <f t="shared" si="3"/>
        <v>7.0977692114769875</v>
      </c>
      <c r="AY23" s="12">
        <f t="shared" si="4"/>
        <v>7.681756346122433</v>
      </c>
      <c r="AZ23" s="12">
        <f t="shared" si="5"/>
        <v>8.2678454613511363</v>
      </c>
      <c r="BA23" s="12">
        <f t="shared" si="6"/>
        <v>8.2808582963490256</v>
      </c>
      <c r="BB23" s="12">
        <f t="shared" si="7"/>
        <v>8.2891126112358826</v>
      </c>
      <c r="BC23" s="12">
        <f t="shared" si="8"/>
        <v>8.3006144986217762</v>
      </c>
      <c r="BD23" s="12">
        <f t="shared" si="9"/>
        <v>8.3130179561678226</v>
      </c>
      <c r="BE23" s="12">
        <f t="shared" si="10"/>
        <v>8.3310173121762663</v>
      </c>
    </row>
    <row r="24" spans="1:57" x14ac:dyDescent="0.2">
      <c r="A24" s="3" t="s">
        <v>17</v>
      </c>
      <c r="B24" s="6">
        <v>25442.935000000001</v>
      </c>
      <c r="C24" s="6">
        <v>35620.109000000004</v>
      </c>
      <c r="D24" s="6">
        <v>43252.989500000003</v>
      </c>
      <c r="F24" s="3" t="s">
        <v>17</v>
      </c>
      <c r="G24" s="2" t="s">
        <v>15</v>
      </c>
      <c r="H24" s="12">
        <v>2.9750000000000001</v>
      </c>
      <c r="I24" s="12">
        <v>5.25</v>
      </c>
      <c r="J24" s="12">
        <v>7.3500000000000005</v>
      </c>
      <c r="K24" s="12">
        <v>8.9250000000000007</v>
      </c>
      <c r="L24" s="23">
        <v>0.9</v>
      </c>
      <c r="M24" s="6">
        <f t="shared" si="12"/>
        <v>12319.893</v>
      </c>
      <c r="P24" s="136" t="s">
        <v>18</v>
      </c>
      <c r="Q24" s="137">
        <v>14258.751285725153</v>
      </c>
      <c r="R24" s="137">
        <v>14546.512087209274</v>
      </c>
      <c r="S24" s="137">
        <v>14032.859599404805</v>
      </c>
      <c r="T24" s="137">
        <v>16416.954091301133</v>
      </c>
      <c r="U24" s="137">
        <v>18107.70423107392</v>
      </c>
      <c r="V24" s="137">
        <v>19811.478939622008</v>
      </c>
      <c r="W24" s="137">
        <v>21511.202367937654</v>
      </c>
      <c r="X24" s="137">
        <v>21704.205021250964</v>
      </c>
      <c r="Y24" s="137">
        <v>21915.032146166257</v>
      </c>
      <c r="Z24" s="137">
        <v>22133.549816417268</v>
      </c>
      <c r="AA24" s="137">
        <v>22351.196530693305</v>
      </c>
      <c r="AB24" s="138">
        <v>22587.280882292565</v>
      </c>
      <c r="AC24" s="29"/>
      <c r="AD24" s="3" t="s">
        <v>18</v>
      </c>
      <c r="AE24" s="40">
        <v>377976</v>
      </c>
      <c r="AF24" s="40">
        <v>386177</v>
      </c>
      <c r="AG24" s="40">
        <v>394003</v>
      </c>
      <c r="AH24" s="40">
        <v>400720</v>
      </c>
      <c r="AI24" s="40">
        <v>406088</v>
      </c>
      <c r="AJ24" s="40">
        <v>410624</v>
      </c>
      <c r="AK24" s="40">
        <v>414342</v>
      </c>
      <c r="AL24" s="40">
        <v>417422</v>
      </c>
      <c r="AM24" s="40">
        <v>421076</v>
      </c>
      <c r="AN24" s="40">
        <v>424703</v>
      </c>
      <c r="AO24" s="40">
        <v>428260</v>
      </c>
      <c r="AP24" s="40">
        <v>431870</v>
      </c>
      <c r="AR24" s="3" t="s">
        <v>18</v>
      </c>
      <c r="AS24" s="12">
        <v>3.9249999999999998</v>
      </c>
      <c r="AT24" s="12">
        <f t="shared" si="11"/>
        <v>3.7723959419976802</v>
      </c>
      <c r="AU24" s="12">
        <f t="shared" si="0"/>
        <v>3.7667991846249969</v>
      </c>
      <c r="AV24" s="12">
        <f t="shared" si="1"/>
        <v>3.5616123733587828</v>
      </c>
      <c r="AW24" s="12">
        <f t="shared" si="2"/>
        <v>4.0968641673241004</v>
      </c>
      <c r="AX24" s="12">
        <f t="shared" si="3"/>
        <v>4.4590591770931223</v>
      </c>
      <c r="AY24" s="12">
        <f t="shared" si="4"/>
        <v>4.8247250378989071</v>
      </c>
      <c r="AZ24" s="12">
        <f t="shared" si="5"/>
        <v>5.1916538434282922</v>
      </c>
      <c r="BA24" s="12">
        <f t="shared" si="6"/>
        <v>5.1995834003121457</v>
      </c>
      <c r="BB24" s="12">
        <f t="shared" si="7"/>
        <v>5.2045312832282669</v>
      </c>
      <c r="BC24" s="12">
        <f t="shared" si="8"/>
        <v>5.2115360184451873</v>
      </c>
      <c r="BD24" s="12">
        <f t="shared" si="9"/>
        <v>5.2190717159420217</v>
      </c>
      <c r="BE24" s="12">
        <f t="shared" si="10"/>
        <v>5.2301111173020969</v>
      </c>
    </row>
    <row r="25" spans="1:57" x14ac:dyDescent="0.2">
      <c r="A25" s="3" t="s">
        <v>18</v>
      </c>
      <c r="B25" s="6">
        <v>6449.6640000000007</v>
      </c>
      <c r="C25" s="6">
        <v>13064.704000000002</v>
      </c>
      <c r="D25" s="6">
        <v>12982.016000000001</v>
      </c>
      <c r="F25" s="3" t="s">
        <v>18</v>
      </c>
      <c r="G25" s="2" t="s">
        <v>5</v>
      </c>
      <c r="H25" s="12">
        <v>3.9249999999999998</v>
      </c>
      <c r="I25" s="12">
        <v>5.85</v>
      </c>
      <c r="J25" s="12">
        <v>11.850000000000001</v>
      </c>
      <c r="K25" s="12">
        <v>11.775</v>
      </c>
      <c r="L25" s="42" t="s">
        <v>233</v>
      </c>
      <c r="M25" s="42" t="s">
        <v>233</v>
      </c>
      <c r="P25" s="136" t="s">
        <v>19</v>
      </c>
      <c r="Q25" s="137">
        <v>668199.49046248593</v>
      </c>
      <c r="R25" s="137">
        <v>732787.02005710173</v>
      </c>
      <c r="S25" s="137">
        <v>758457.83933835477</v>
      </c>
      <c r="T25" s="137">
        <v>872746.69024888554</v>
      </c>
      <c r="U25" s="137">
        <v>949778.70095366833</v>
      </c>
      <c r="V25" s="137">
        <v>1027488.2546980565</v>
      </c>
      <c r="W25" s="137">
        <v>1105342.9862613035</v>
      </c>
      <c r="X25" s="137">
        <v>1106490.1552858795</v>
      </c>
      <c r="Y25" s="137">
        <v>1107512.7664649785</v>
      </c>
      <c r="Z25" s="137">
        <v>1108478.9866556181</v>
      </c>
      <c r="AA25" s="137">
        <v>1109650.1233413005</v>
      </c>
      <c r="AB25" s="138">
        <v>1111003.5795630803</v>
      </c>
      <c r="AC25" s="29"/>
      <c r="AD25" s="3" t="s">
        <v>19</v>
      </c>
      <c r="AE25" s="40">
        <v>12516862</v>
      </c>
      <c r="AF25" s="40">
        <v>12606425</v>
      </c>
      <c r="AG25" s="40">
        <v>12670940</v>
      </c>
      <c r="AH25" s="40">
        <v>12672924</v>
      </c>
      <c r="AI25" s="40">
        <v>12670720</v>
      </c>
      <c r="AJ25" s="40">
        <v>12668075</v>
      </c>
      <c r="AK25" s="40">
        <v>12664365</v>
      </c>
      <c r="AL25" s="40">
        <v>12658090</v>
      </c>
      <c r="AM25" s="40">
        <v>12657661</v>
      </c>
      <c r="AN25" s="40">
        <v>12651600</v>
      </c>
      <c r="AO25" s="40">
        <v>12646592</v>
      </c>
      <c r="AP25" s="40">
        <v>12635200</v>
      </c>
      <c r="AR25" s="3" t="s">
        <v>19</v>
      </c>
      <c r="AS25" s="12">
        <v>5.0750000000000002</v>
      </c>
      <c r="AT25" s="12">
        <f t="shared" si="11"/>
        <v>5.3383946428624514</v>
      </c>
      <c r="AU25" s="12">
        <f t="shared" si="0"/>
        <v>5.8128059307623037</v>
      </c>
      <c r="AV25" s="12">
        <f t="shared" si="1"/>
        <v>5.9858056256154217</v>
      </c>
      <c r="AW25" s="12">
        <f t="shared" si="2"/>
        <v>6.8867034178448918</v>
      </c>
      <c r="AX25" s="12">
        <f t="shared" si="3"/>
        <v>7.4958542289125507</v>
      </c>
      <c r="AY25" s="12">
        <f t="shared" si="4"/>
        <v>8.110847581010189</v>
      </c>
      <c r="AZ25" s="12">
        <f t="shared" si="5"/>
        <v>8.7279779622689624</v>
      </c>
      <c r="BA25" s="12">
        <f t="shared" si="6"/>
        <v>8.7413674202496541</v>
      </c>
      <c r="BB25" s="12">
        <f t="shared" si="7"/>
        <v>8.7497426773001621</v>
      </c>
      <c r="BC25" s="12">
        <f t="shared" si="8"/>
        <v>8.7615715534447673</v>
      </c>
      <c r="BD25" s="12">
        <f t="shared" si="9"/>
        <v>8.774301593198393</v>
      </c>
      <c r="BE25" s="12">
        <f t="shared" si="10"/>
        <v>8.7929243665559742</v>
      </c>
    </row>
    <row r="26" spans="1:57" x14ac:dyDescent="0.2">
      <c r="A26" s="3" t="s">
        <v>19</v>
      </c>
      <c r="B26" s="6">
        <v>335335.63250000001</v>
      </c>
      <c r="C26" s="6">
        <v>567022.06949999998</v>
      </c>
      <c r="D26" s="6">
        <v>618846.66724999994</v>
      </c>
      <c r="F26" s="3" t="s">
        <v>19</v>
      </c>
      <c r="H26" s="12">
        <v>5.0750000000000002</v>
      </c>
      <c r="I26" s="12">
        <v>8.25</v>
      </c>
      <c r="J26" s="12">
        <v>13.950000000000001</v>
      </c>
      <c r="K26" s="12">
        <v>15.225000000000001</v>
      </c>
      <c r="L26" s="23">
        <v>3</v>
      </c>
      <c r="M26" s="6">
        <f>+AE25*L26/100</f>
        <v>375505.86</v>
      </c>
      <c r="P26" s="136" t="s">
        <v>20</v>
      </c>
      <c r="Q26" s="137">
        <v>854378.01505099889</v>
      </c>
      <c r="R26" s="137">
        <v>1204740.1841275492</v>
      </c>
      <c r="S26" s="137">
        <v>1492681.6305154741</v>
      </c>
      <c r="T26" s="137">
        <v>1712060.5820637271</v>
      </c>
      <c r="U26" s="137">
        <v>1853737.8393726402</v>
      </c>
      <c r="V26" s="137">
        <v>1994338.392258174</v>
      </c>
      <c r="W26" s="137">
        <v>2134033.2320474032</v>
      </c>
      <c r="X26" s="137">
        <v>2125543.7669348717</v>
      </c>
      <c r="Y26" s="137">
        <v>2116877.0351904193</v>
      </c>
      <c r="Z26" s="137">
        <v>2109055.9590657176</v>
      </c>
      <c r="AA26" s="137">
        <v>2100103.5634384258</v>
      </c>
      <c r="AB26" s="138">
        <v>2090946.504283377</v>
      </c>
      <c r="AC26" s="29"/>
      <c r="AD26" s="3" t="s">
        <v>20</v>
      </c>
      <c r="AE26" s="40">
        <v>28362852</v>
      </c>
      <c r="AF26" s="40">
        <v>28321333</v>
      </c>
      <c r="AG26" s="40">
        <v>28280019</v>
      </c>
      <c r="AH26" s="40">
        <v>28146543</v>
      </c>
      <c r="AI26" s="40">
        <v>27989162</v>
      </c>
      <c r="AJ26" s="40">
        <v>27820215</v>
      </c>
      <c r="AK26" s="40">
        <v>27656278</v>
      </c>
      <c r="AL26" s="40">
        <v>27502488</v>
      </c>
      <c r="AM26" s="40">
        <v>27362607</v>
      </c>
      <c r="AN26" s="40">
        <v>27223309</v>
      </c>
      <c r="AO26" s="40">
        <v>27066814</v>
      </c>
      <c r="AP26" s="40">
        <v>26890065</v>
      </c>
      <c r="AR26" s="3" t="s">
        <v>20</v>
      </c>
      <c r="AS26" s="12">
        <v>2.9750000000000001</v>
      </c>
      <c r="AT26" s="12">
        <f t="shared" si="11"/>
        <v>3.0123134833231826</v>
      </c>
      <c r="AU26" s="12">
        <f t="shared" si="0"/>
        <v>4.2538258496785772</v>
      </c>
      <c r="AV26" s="12">
        <f t="shared" si="1"/>
        <v>5.2782200412081552</v>
      </c>
      <c r="AW26" s="12">
        <f t="shared" si="2"/>
        <v>6.082667353016415</v>
      </c>
      <c r="AX26" s="12">
        <f t="shared" si="3"/>
        <v>6.6230558791743759</v>
      </c>
      <c r="AY26" s="12">
        <f t="shared" si="4"/>
        <v>7.1686663537940811</v>
      </c>
      <c r="AZ26" s="12">
        <f t="shared" si="5"/>
        <v>7.7162705409867636</v>
      </c>
      <c r="BA26" s="12">
        <f t="shared" si="6"/>
        <v>7.7285508385091255</v>
      </c>
      <c r="BB26" s="12">
        <f t="shared" si="7"/>
        <v>7.7363865043649502</v>
      </c>
      <c r="BC26" s="12">
        <f t="shared" si="8"/>
        <v>7.7472432137684573</v>
      </c>
      <c r="BD26" s="12">
        <f t="shared" si="9"/>
        <v>7.7589610784572782</v>
      </c>
      <c r="BE26" s="12">
        <f t="shared" si="10"/>
        <v>7.775907214368492</v>
      </c>
    </row>
    <row r="27" spans="1:57" x14ac:dyDescent="0.2">
      <c r="A27" s="3" t="s">
        <v>20</v>
      </c>
      <c r="B27" s="6">
        <v>497875.92749999999</v>
      </c>
      <c r="C27" s="6">
        <v>697026.29850000003</v>
      </c>
      <c r="D27" s="6">
        <v>846389.07675000001</v>
      </c>
      <c r="F27" s="3" t="s">
        <v>20</v>
      </c>
      <c r="G27" s="2" t="s">
        <v>15</v>
      </c>
      <c r="H27" s="12">
        <v>2.9750000000000001</v>
      </c>
      <c r="I27" s="12">
        <v>5.25</v>
      </c>
      <c r="J27" s="12">
        <v>7.3500000000000005</v>
      </c>
      <c r="K27" s="12">
        <v>8.9250000000000007</v>
      </c>
      <c r="L27" s="23">
        <v>0.9</v>
      </c>
      <c r="M27" s="6">
        <f>+AE26*L27/100</f>
        <v>255265.66800000001</v>
      </c>
      <c r="P27" s="136" t="s">
        <v>21</v>
      </c>
      <c r="Q27" s="137">
        <v>290931.57196259848</v>
      </c>
      <c r="R27" s="137">
        <v>335106.99109575257</v>
      </c>
      <c r="S27" s="137">
        <v>361115.76669943368</v>
      </c>
      <c r="T27" s="137">
        <v>414810.67898930598</v>
      </c>
      <c r="U27" s="137">
        <v>450538.7266053264</v>
      </c>
      <c r="V27" s="137">
        <v>485654.95960857079</v>
      </c>
      <c r="W27" s="137">
        <v>520313.89548028016</v>
      </c>
      <c r="X27" s="137">
        <v>518537.80357026309</v>
      </c>
      <c r="Y27" s="137">
        <v>516526.40244386863</v>
      </c>
      <c r="Z27" s="137">
        <v>514470.34487548727</v>
      </c>
      <c r="AA27" s="137">
        <v>512927.12898523698</v>
      </c>
      <c r="AB27" s="138">
        <v>511320.18075176183</v>
      </c>
      <c r="AC27" s="29"/>
      <c r="AD27" s="3" t="s">
        <v>21</v>
      </c>
      <c r="AE27" s="40">
        <v>7459330</v>
      </c>
      <c r="AF27" s="40">
        <v>7466379</v>
      </c>
      <c r="AG27" s="40">
        <v>7456687</v>
      </c>
      <c r="AH27" s="40">
        <v>7447003</v>
      </c>
      <c r="AI27" s="40">
        <v>7431561</v>
      </c>
      <c r="AJ27" s="40">
        <v>7403778</v>
      </c>
      <c r="AK27" s="40">
        <v>7371640</v>
      </c>
      <c r="AL27" s="40">
        <v>7335295</v>
      </c>
      <c r="AM27" s="40">
        <v>7299916</v>
      </c>
      <c r="AN27" s="40">
        <v>7261105</v>
      </c>
      <c r="AO27" s="40">
        <v>7228894</v>
      </c>
      <c r="AP27" s="40">
        <v>7191059</v>
      </c>
      <c r="AR27" s="3" t="s">
        <v>21</v>
      </c>
      <c r="AS27" s="12">
        <v>3.4750000000000001</v>
      </c>
      <c r="AT27" s="12">
        <f t="shared" si="11"/>
        <v>3.9002373130374779</v>
      </c>
      <c r="AU27" s="12">
        <f t="shared" si="0"/>
        <v>4.488212975737671</v>
      </c>
      <c r="AV27" s="12">
        <f t="shared" si="1"/>
        <v>4.8428446399779643</v>
      </c>
      <c r="AW27" s="12">
        <f t="shared" si="2"/>
        <v>5.5701693552333191</v>
      </c>
      <c r="AX27" s="12">
        <f t="shared" si="3"/>
        <v>6.0625045882732627</v>
      </c>
      <c r="AY27" s="12">
        <f t="shared" si="4"/>
        <v>6.5595559403397941</v>
      </c>
      <c r="AZ27" s="12">
        <f t="shared" si="5"/>
        <v>7.058319389990289</v>
      </c>
      <c r="BA27" s="12">
        <f t="shared" si="6"/>
        <v>7.0690790700341717</v>
      </c>
      <c r="BB27" s="12">
        <f t="shared" si="7"/>
        <v>7.0757855630649544</v>
      </c>
      <c r="BC27" s="12">
        <f t="shared" si="8"/>
        <v>7.0852899782538223</v>
      </c>
      <c r="BD27" s="12">
        <f t="shared" si="9"/>
        <v>7.0955132138503751</v>
      </c>
      <c r="BE27" s="12">
        <f t="shared" si="10"/>
        <v>7.110499034311383</v>
      </c>
    </row>
    <row r="28" spans="1:57" x14ac:dyDescent="0.2">
      <c r="A28" s="3" t="s">
        <v>21</v>
      </c>
      <c r="B28" s="6">
        <v>131522.51</v>
      </c>
      <c r="C28" s="6">
        <v>259287.23400000003</v>
      </c>
      <c r="D28" s="6">
        <v>261166.12700000004</v>
      </c>
      <c r="F28" s="3" t="s">
        <v>21</v>
      </c>
      <c r="H28" s="12">
        <v>3.4750000000000001</v>
      </c>
      <c r="I28" s="12">
        <v>5.25</v>
      </c>
      <c r="J28" s="12">
        <v>10.350000000000001</v>
      </c>
      <c r="K28" s="12">
        <v>10.425000000000001</v>
      </c>
      <c r="L28" s="23">
        <v>1.1000000000000001</v>
      </c>
      <c r="M28" s="6">
        <f>+AE27*L28/100</f>
        <v>82052.63</v>
      </c>
      <c r="P28" s="136" t="s">
        <v>22</v>
      </c>
      <c r="Q28" s="137">
        <v>491910.21019876795</v>
      </c>
      <c r="R28" s="137">
        <v>568428.87916707911</v>
      </c>
      <c r="S28" s="137">
        <v>615410.33580876584</v>
      </c>
      <c r="T28" s="137">
        <v>703094.09893117321</v>
      </c>
      <c r="U28" s="137">
        <v>759275.18454526342</v>
      </c>
      <c r="V28" s="137">
        <v>814415.70588310063</v>
      </c>
      <c r="W28" s="137">
        <v>866174.9530036354</v>
      </c>
      <c r="X28" s="137">
        <v>858721.01425389899</v>
      </c>
      <c r="Y28" s="137">
        <v>851586.69719545101</v>
      </c>
      <c r="Z28" s="137">
        <v>844848.7832134855</v>
      </c>
      <c r="AA28" s="137">
        <v>838168.39710207912</v>
      </c>
      <c r="AB28" s="138">
        <v>830135.20098099532</v>
      </c>
      <c r="AC28" s="29"/>
      <c r="AD28" s="3" t="s">
        <v>22</v>
      </c>
      <c r="AE28" s="40">
        <v>14198000</v>
      </c>
      <c r="AF28" s="40">
        <v>14084704</v>
      </c>
      <c r="AG28" s="40">
        <v>14000191</v>
      </c>
      <c r="AH28" s="40">
        <v>13886605</v>
      </c>
      <c r="AI28" s="40">
        <v>13774151</v>
      </c>
      <c r="AJ28" s="40">
        <v>13651272</v>
      </c>
      <c r="AK28" s="40">
        <v>13489653</v>
      </c>
      <c r="AL28" s="40">
        <v>13352551</v>
      </c>
      <c r="AM28" s="40">
        <v>13228431</v>
      </c>
      <c r="AN28" s="40">
        <v>13105580</v>
      </c>
      <c r="AO28" s="40">
        <v>12982552</v>
      </c>
      <c r="AP28" s="40">
        <v>12830344</v>
      </c>
      <c r="AR28" s="3" t="s">
        <v>22</v>
      </c>
      <c r="AS28" s="12">
        <v>3.05</v>
      </c>
      <c r="AT28" s="12">
        <f t="shared" si="11"/>
        <v>3.4646443879332858</v>
      </c>
      <c r="AU28" s="12">
        <f t="shared" si="0"/>
        <v>4.0357886056184009</v>
      </c>
      <c r="AV28" s="12">
        <f t="shared" si="1"/>
        <v>4.3957281426286672</v>
      </c>
      <c r="AW28" s="12">
        <f t="shared" si="2"/>
        <v>5.063110090127668</v>
      </c>
      <c r="AX28" s="12">
        <f t="shared" si="3"/>
        <v>5.5123193040737197</v>
      </c>
      <c r="AY28" s="12">
        <f t="shared" si="4"/>
        <v>5.9658594882813896</v>
      </c>
      <c r="AZ28" s="12">
        <f t="shared" si="5"/>
        <v>6.4210321273915305</v>
      </c>
      <c r="BA28" s="12">
        <f t="shared" si="6"/>
        <v>6.4311382465710034</v>
      </c>
      <c r="BB28" s="12">
        <f t="shared" si="7"/>
        <v>6.4375487704887373</v>
      </c>
      <c r="BC28" s="12">
        <f t="shared" si="8"/>
        <v>6.4464814469369953</v>
      </c>
      <c r="BD28" s="12">
        <f t="shared" si="9"/>
        <v>6.4561143071260494</v>
      </c>
      <c r="BE28" s="12">
        <f t="shared" si="10"/>
        <v>6.4700930932248992</v>
      </c>
    </row>
    <row r="29" spans="1:57" x14ac:dyDescent="0.2">
      <c r="A29" s="3" t="s">
        <v>22</v>
      </c>
      <c r="B29" s="6">
        <v>204011.57</v>
      </c>
      <c r="C29" s="6">
        <v>480884.41499999998</v>
      </c>
      <c r="D29" s="6">
        <v>444453.77749999997</v>
      </c>
      <c r="F29" s="3" t="s">
        <v>22</v>
      </c>
      <c r="H29" s="12">
        <v>3.05</v>
      </c>
      <c r="I29" s="12">
        <v>4.1999999999999993</v>
      </c>
      <c r="J29" s="12">
        <v>9.8999999999999986</v>
      </c>
      <c r="K29" s="12">
        <v>9.1499999999999986</v>
      </c>
      <c r="L29" s="23">
        <v>0.3</v>
      </c>
      <c r="M29" s="6">
        <f>+AE28*L29/100</f>
        <v>42594</v>
      </c>
      <c r="P29" s="136" t="s">
        <v>23</v>
      </c>
      <c r="Q29" s="137">
        <v>281238.34308778041</v>
      </c>
      <c r="R29" s="137">
        <v>367437.79647961201</v>
      </c>
      <c r="S29" s="137">
        <v>435445.76552897622</v>
      </c>
      <c r="T29" s="137">
        <v>502993.84725826478</v>
      </c>
      <c r="U29" s="137">
        <v>549853.60545800114</v>
      </c>
      <c r="V29" s="137">
        <v>597577.38161550579</v>
      </c>
      <c r="W29" s="137">
        <v>646422.0246895575</v>
      </c>
      <c r="X29" s="137">
        <v>651113.59225079906</v>
      </c>
      <c r="Y29" s="137">
        <v>656027.40894637129</v>
      </c>
      <c r="Z29" s="137">
        <v>661255.47598702949</v>
      </c>
      <c r="AA29" s="137">
        <v>666827.05506152497</v>
      </c>
      <c r="AB29" s="138">
        <v>672674.02012632473</v>
      </c>
      <c r="AC29" s="29"/>
      <c r="AD29" s="3" t="s">
        <v>23</v>
      </c>
      <c r="AE29" s="40">
        <v>7152054</v>
      </c>
      <c r="AF29" s="40">
        <v>7174249</v>
      </c>
      <c r="AG29" s="40">
        <v>7201535</v>
      </c>
      <c r="AH29" s="40">
        <v>7230443</v>
      </c>
      <c r="AI29" s="40">
        <v>7261721</v>
      </c>
      <c r="AJ29" s="40">
        <v>7293593</v>
      </c>
      <c r="AK29" s="40">
        <v>7331893</v>
      </c>
      <c r="AL29" s="40">
        <v>7373794</v>
      </c>
      <c r="AM29" s="40">
        <v>7422331</v>
      </c>
      <c r="AN29" s="40">
        <v>7471381</v>
      </c>
      <c r="AO29" s="40">
        <v>7523402</v>
      </c>
      <c r="AP29" s="40">
        <v>7573296</v>
      </c>
      <c r="AR29" s="3" t="s">
        <v>23</v>
      </c>
      <c r="AS29" s="12">
        <v>2.9250000000000003</v>
      </c>
      <c r="AT29" s="12">
        <f t="shared" si="11"/>
        <v>3.9322737648202937</v>
      </c>
      <c r="AU29" s="12">
        <f t="shared" si="0"/>
        <v>5.121620346319343</v>
      </c>
      <c r="AV29" s="12">
        <f t="shared" si="1"/>
        <v>6.0465687597015947</v>
      </c>
      <c r="AW29" s="12">
        <f t="shared" si="2"/>
        <v>6.9566117492146029</v>
      </c>
      <c r="AX29" s="12">
        <f t="shared" si="3"/>
        <v>7.5719461744399315</v>
      </c>
      <c r="AY29" s="12">
        <f t="shared" si="4"/>
        <v>8.1931824495211867</v>
      </c>
      <c r="AZ29" s="12">
        <f t="shared" si="5"/>
        <v>8.8165774471825689</v>
      </c>
      <c r="BA29" s="12">
        <f t="shared" si="6"/>
        <v>8.8301028242828465</v>
      </c>
      <c r="BB29" s="12">
        <f t="shared" si="7"/>
        <v>8.8385631002763319</v>
      </c>
      <c r="BC29" s="12">
        <f t="shared" si="8"/>
        <v>8.850512053755919</v>
      </c>
      <c r="BD29" s="12">
        <f t="shared" si="9"/>
        <v>8.8633713187401781</v>
      </c>
      <c r="BE29" s="12">
        <f t="shared" si="10"/>
        <v>8.8821831356693934</v>
      </c>
    </row>
    <row r="30" spans="1:57" x14ac:dyDescent="0.2">
      <c r="A30" s="3" t="s">
        <v>23</v>
      </c>
      <c r="B30" s="6">
        <v>93522.384000000005</v>
      </c>
      <c r="C30" s="6">
        <v>218218.89600000001</v>
      </c>
      <c r="D30" s="6">
        <v>202631.83199999999</v>
      </c>
      <c r="F30" s="3" t="s">
        <v>23</v>
      </c>
      <c r="H30" s="12">
        <v>2.9250000000000003</v>
      </c>
      <c r="I30" s="12">
        <v>4.0500000000000007</v>
      </c>
      <c r="J30" s="12">
        <v>9.4500000000000011</v>
      </c>
      <c r="K30" s="12">
        <v>8.7750000000000021</v>
      </c>
      <c r="L30" s="23">
        <v>2</v>
      </c>
      <c r="M30" s="6">
        <f>+AE29*L30/100</f>
        <v>143041.07999999999</v>
      </c>
      <c r="P30" s="136" t="s">
        <v>24</v>
      </c>
      <c r="Q30" s="137">
        <v>47273.928625010813</v>
      </c>
      <c r="R30" s="137">
        <v>68067.473580170001</v>
      </c>
      <c r="S30" s="137">
        <v>85587.024551893701</v>
      </c>
      <c r="T30" s="137">
        <v>98718.316479619287</v>
      </c>
      <c r="U30" s="137">
        <v>107422.49790435194</v>
      </c>
      <c r="V30" s="137">
        <v>116054.97622346526</v>
      </c>
      <c r="W30" s="137">
        <v>124557.37041562903</v>
      </c>
      <c r="X30" s="137">
        <v>124331.32304874825</v>
      </c>
      <c r="Y30" s="137">
        <v>124220.1318347847</v>
      </c>
      <c r="Z30" s="137">
        <v>124051.28459528415</v>
      </c>
      <c r="AA30" s="137">
        <v>123912.49684228582</v>
      </c>
      <c r="AB30" s="138">
        <v>123831.63741568176</v>
      </c>
      <c r="AC30" s="29"/>
      <c r="AD30" s="3" t="s">
        <v>24</v>
      </c>
      <c r="AE30" s="40">
        <v>1521063</v>
      </c>
      <c r="AF30" s="40">
        <v>1529116</v>
      </c>
      <c r="AG30" s="40">
        <v>1537111</v>
      </c>
      <c r="AH30" s="40">
        <v>1538468</v>
      </c>
      <c r="AI30" s="40">
        <v>1537523</v>
      </c>
      <c r="AJ30" s="40">
        <v>1534653</v>
      </c>
      <c r="AK30" s="40">
        <v>1530195</v>
      </c>
      <c r="AL30" s="40">
        <v>1524991</v>
      </c>
      <c r="AM30" s="40">
        <v>1522084</v>
      </c>
      <c r="AN30" s="40">
        <v>1517885</v>
      </c>
      <c r="AO30" s="40">
        <v>1513897</v>
      </c>
      <c r="AP30" s="40">
        <v>1509612</v>
      </c>
      <c r="AR30" s="3" t="s">
        <v>24</v>
      </c>
      <c r="AS30" s="12">
        <v>2.5250000000000004</v>
      </c>
      <c r="AT30" s="12">
        <f t="shared" si="11"/>
        <v>3.1079533605781489</v>
      </c>
      <c r="AU30" s="12">
        <f t="shared" si="0"/>
        <v>4.4514264176275704</v>
      </c>
      <c r="AV30" s="12">
        <f t="shared" si="1"/>
        <v>5.5680445037406994</v>
      </c>
      <c r="AW30" s="12">
        <f t="shared" si="2"/>
        <v>6.4166636211880448</v>
      </c>
      <c r="AX30" s="12">
        <f t="shared" si="3"/>
        <v>6.9867246151343396</v>
      </c>
      <c r="AY30" s="12">
        <f t="shared" si="4"/>
        <v>7.5622942921601988</v>
      </c>
      <c r="AZ30" s="12">
        <f t="shared" si="5"/>
        <v>8.1399671555343627</v>
      </c>
      <c r="BA30" s="12">
        <f t="shared" si="6"/>
        <v>8.1529217581446876</v>
      </c>
      <c r="BB30" s="12">
        <f t="shared" si="7"/>
        <v>8.1611876765529825</v>
      </c>
      <c r="BC30" s="12">
        <f t="shared" si="8"/>
        <v>8.1726405225220713</v>
      </c>
      <c r="BD30" s="12">
        <f t="shared" si="9"/>
        <v>8.1850018093890018</v>
      </c>
      <c r="BE30" s="12">
        <f t="shared" si="10"/>
        <v>8.2028784492758238</v>
      </c>
    </row>
    <row r="31" spans="1:57" ht="12" thickBot="1" x14ac:dyDescent="0.25">
      <c r="A31" s="3" t="s">
        <v>24</v>
      </c>
      <c r="B31" s="6">
        <v>16813.379000000001</v>
      </c>
      <c r="C31" s="6">
        <v>43561.936500000003</v>
      </c>
      <c r="D31" s="6">
        <v>38594.347250000006</v>
      </c>
      <c r="F31" s="3" t="s">
        <v>24</v>
      </c>
      <c r="G31" s="2" t="s">
        <v>26</v>
      </c>
      <c r="H31" s="12">
        <v>2.5250000000000004</v>
      </c>
      <c r="I31" s="12">
        <v>3.3000000000000003</v>
      </c>
      <c r="J31" s="12">
        <v>8.5500000000000007</v>
      </c>
      <c r="K31" s="12">
        <v>7.5750000000000011</v>
      </c>
      <c r="L31" s="42" t="s">
        <v>233</v>
      </c>
      <c r="M31" s="42" t="s">
        <v>233</v>
      </c>
      <c r="P31" s="139" t="s">
        <v>25</v>
      </c>
      <c r="Q31" s="140">
        <v>131602.93130170344</v>
      </c>
      <c r="R31" s="140">
        <v>190643.37848202523</v>
      </c>
      <c r="S31" s="140">
        <v>239794.33434257866</v>
      </c>
      <c r="T31" s="140">
        <v>275680.29173561005</v>
      </c>
      <c r="U31" s="140">
        <v>299159.85399754834</v>
      </c>
      <c r="V31" s="140">
        <v>322615.79191579344</v>
      </c>
      <c r="W31" s="140">
        <v>345873.09647745412</v>
      </c>
      <c r="X31" s="140">
        <v>344737.17202858569</v>
      </c>
      <c r="Y31" s="140">
        <v>343415.71466072794</v>
      </c>
      <c r="Z31" s="140">
        <v>342420.48495261208</v>
      </c>
      <c r="AA31" s="140">
        <v>341356.12687043735</v>
      </c>
      <c r="AB31" s="141">
        <v>340761.23003991682</v>
      </c>
      <c r="AC31" s="29"/>
      <c r="AD31" s="3" t="s">
        <v>25</v>
      </c>
      <c r="AE31" s="40">
        <v>4104204</v>
      </c>
      <c r="AF31" s="40">
        <v>4095353</v>
      </c>
      <c r="AG31" s="40">
        <v>4087312</v>
      </c>
      <c r="AH31" s="40">
        <v>4077538</v>
      </c>
      <c r="AI31" s="40">
        <v>4063790</v>
      </c>
      <c r="AJ31" s="40">
        <v>4048868</v>
      </c>
      <c r="AK31" s="40">
        <v>4032698</v>
      </c>
      <c r="AL31" s="40">
        <v>4013067</v>
      </c>
      <c r="AM31" s="40">
        <v>3993635</v>
      </c>
      <c r="AN31" s="40">
        <v>3976481</v>
      </c>
      <c r="AO31" s="40">
        <v>3958134</v>
      </c>
      <c r="AP31" s="40">
        <v>3942625</v>
      </c>
      <c r="AR31" s="3" t="s">
        <v>25</v>
      </c>
      <c r="AS31" s="12">
        <v>1.9249999999999998</v>
      </c>
      <c r="AT31" s="12">
        <f t="shared" si="11"/>
        <v>3.2065397163908873</v>
      </c>
      <c r="AU31" s="12">
        <f t="shared" si="0"/>
        <v>4.6551146746574767</v>
      </c>
      <c r="AV31" s="12">
        <f t="shared" si="1"/>
        <v>5.8667978941313672</v>
      </c>
      <c r="AW31" s="12">
        <f t="shared" si="2"/>
        <v>6.7609496646164935</v>
      </c>
      <c r="AX31" s="12">
        <f t="shared" si="3"/>
        <v>7.3615972773580411</v>
      </c>
      <c r="AY31" s="12">
        <f t="shared" si="4"/>
        <v>7.9680491415327301</v>
      </c>
      <c r="AZ31" s="12">
        <f t="shared" si="5"/>
        <v>8.5767170385050946</v>
      </c>
      <c r="BA31" s="12">
        <f t="shared" si="6"/>
        <v>8.5903667202313265</v>
      </c>
      <c r="BB31" s="12">
        <f t="shared" si="7"/>
        <v>8.5990761464362162</v>
      </c>
      <c r="BC31" s="12">
        <f t="shared" si="8"/>
        <v>8.6111434947787266</v>
      </c>
      <c r="BD31" s="12">
        <f t="shared" si="9"/>
        <v>8.6241680264093468</v>
      </c>
      <c r="BE31" s="12">
        <f t="shared" si="10"/>
        <v>8.6430038372890348</v>
      </c>
    </row>
    <row r="32" spans="1:57" x14ac:dyDescent="0.2">
      <c r="A32" s="3" t="s">
        <v>25</v>
      </c>
      <c r="B32" s="6">
        <v>37028.25</v>
      </c>
      <c r="C32" s="6">
        <v>84342.125</v>
      </c>
      <c r="D32" s="6">
        <v>79199.3125</v>
      </c>
      <c r="F32" s="3" t="s">
        <v>25</v>
      </c>
      <c r="H32" s="12">
        <v>1.9249999999999998</v>
      </c>
      <c r="I32" s="12">
        <v>2.7</v>
      </c>
      <c r="J32" s="12">
        <v>6.1499999999999995</v>
      </c>
      <c r="K32" s="12">
        <v>5.7750000000000004</v>
      </c>
      <c r="L32" s="42" t="s">
        <v>233</v>
      </c>
      <c r="M32" s="42" t="s">
        <v>233</v>
      </c>
      <c r="Q32" s="2" t="s">
        <v>230</v>
      </c>
      <c r="Z32" s="2"/>
      <c r="AC32" s="29"/>
      <c r="AE32" s="2" t="s">
        <v>228</v>
      </c>
      <c r="AS32" s="2" t="s">
        <v>229</v>
      </c>
    </row>
    <row r="33" spans="1:55" x14ac:dyDescent="0.2">
      <c r="Q33" s="2" t="s">
        <v>324</v>
      </c>
      <c r="Z33" s="2"/>
      <c r="AC33" s="29"/>
    </row>
    <row r="34" spans="1:55" x14ac:dyDescent="0.2">
      <c r="A34" s="13"/>
      <c r="B34" s="2" t="s">
        <v>37</v>
      </c>
      <c r="F34" s="13" t="s">
        <v>220</v>
      </c>
      <c r="L34" s="2" t="s">
        <v>237</v>
      </c>
      <c r="P34" s="142" t="s">
        <v>378</v>
      </c>
      <c r="Z34" s="2"/>
      <c r="AA34" s="29"/>
    </row>
    <row r="35" spans="1:55" x14ac:dyDescent="0.2">
      <c r="F35" s="4" t="s">
        <v>236</v>
      </c>
      <c r="L35" s="2" t="s">
        <v>238</v>
      </c>
      <c r="Z35" s="2"/>
      <c r="AA35" s="29"/>
      <c r="AY35" s="12"/>
      <c r="AZ35" s="12"/>
      <c r="BA35" s="12"/>
      <c r="BB35" s="12"/>
      <c r="BC35" s="12"/>
    </row>
    <row r="36" spans="1:55" x14ac:dyDescent="0.2">
      <c r="L36" s="2" t="s">
        <v>241</v>
      </c>
    </row>
    <row r="37" spans="1:55" x14ac:dyDescent="0.2">
      <c r="F37" s="4" t="s">
        <v>222</v>
      </c>
    </row>
    <row r="38" spans="1:55" x14ac:dyDescent="0.2">
      <c r="F38" s="2" t="s">
        <v>223</v>
      </c>
      <c r="AH38" s="29"/>
      <c r="AI38" s="29"/>
      <c r="AJ38" s="29"/>
      <c r="AM38" s="29"/>
    </row>
    <row r="39" spans="1:55" x14ac:dyDescent="0.2">
      <c r="F39" s="2"/>
      <c r="G39" s="2">
        <v>2011</v>
      </c>
      <c r="H39" s="2">
        <v>2012</v>
      </c>
      <c r="I39" s="2">
        <v>2013</v>
      </c>
      <c r="J39" s="2">
        <v>2014</v>
      </c>
      <c r="K39" s="2">
        <v>2015</v>
      </c>
      <c r="L39" s="2">
        <v>2016</v>
      </c>
      <c r="M39" s="2">
        <v>2017</v>
      </c>
      <c r="N39" s="2">
        <v>2018</v>
      </c>
      <c r="O39" s="2">
        <v>2019</v>
      </c>
      <c r="P39" s="2">
        <v>2020</v>
      </c>
      <c r="Q39" s="2">
        <v>2021</v>
      </c>
      <c r="R39" s="2">
        <v>2022</v>
      </c>
      <c r="S39" s="2">
        <v>2023</v>
      </c>
      <c r="T39" s="2">
        <v>2024</v>
      </c>
      <c r="U39" s="2">
        <v>2025</v>
      </c>
      <c r="V39" s="2">
        <v>2026</v>
      </c>
      <c r="W39" s="2">
        <v>2027</v>
      </c>
      <c r="X39" s="2">
        <v>2028</v>
      </c>
      <c r="Y39" s="29">
        <v>2029</v>
      </c>
      <c r="Z39" s="2">
        <v>2030</v>
      </c>
    </row>
    <row r="40" spans="1:55" x14ac:dyDescent="0.2">
      <c r="F40" s="2" t="s">
        <v>224</v>
      </c>
      <c r="G40" s="2">
        <v>0</v>
      </c>
      <c r="M40" s="2">
        <v>2.2999999999999998</v>
      </c>
      <c r="N40" s="2">
        <v>1.4</v>
      </c>
      <c r="T40" s="29"/>
      <c r="U40" s="29"/>
      <c r="V40" s="29"/>
      <c r="Y40" s="29"/>
      <c r="Z40" s="2"/>
    </row>
    <row r="41" spans="1:55" x14ac:dyDescent="0.2">
      <c r="F41" s="2" t="s">
        <v>225</v>
      </c>
      <c r="G41" s="2">
        <v>0</v>
      </c>
      <c r="M41" s="2">
        <v>3.6</v>
      </c>
      <c r="N41" s="2">
        <v>4.0999999999999996</v>
      </c>
      <c r="T41" s="29"/>
      <c r="U41" s="29"/>
      <c r="V41" s="29"/>
      <c r="Y41" s="29"/>
      <c r="Z41" s="2"/>
    </row>
    <row r="42" spans="1:55" x14ac:dyDescent="0.2">
      <c r="F42" s="2"/>
      <c r="G42" s="12">
        <v>0</v>
      </c>
      <c r="H42" s="12">
        <v>0.26428571428571429</v>
      </c>
      <c r="I42" s="12">
        <v>0.52857142857142858</v>
      </c>
      <c r="J42" s="12">
        <v>0.79285714285714293</v>
      </c>
      <c r="K42" s="12">
        <v>1.0571428571428572</v>
      </c>
      <c r="L42" s="12">
        <v>1.3214285714285714</v>
      </c>
      <c r="M42" s="12"/>
      <c r="O42" s="12">
        <v>2.1583333333333332</v>
      </c>
      <c r="P42" s="12">
        <v>2.4666666666666668</v>
      </c>
      <c r="Q42" s="12">
        <v>2.7750000000000004</v>
      </c>
      <c r="R42" s="12">
        <v>3.0833333333333339</v>
      </c>
      <c r="S42" s="12">
        <v>3.3916666666666675</v>
      </c>
      <c r="T42" s="12">
        <v>3.7000000000000011</v>
      </c>
      <c r="U42" s="12">
        <v>4.0083333333333346</v>
      </c>
      <c r="V42" s="12">
        <f>+U42</f>
        <v>4.0083333333333346</v>
      </c>
      <c r="W42" s="12">
        <f t="shared" ref="W42:Z42" si="13">+V42</f>
        <v>4.0083333333333346</v>
      </c>
      <c r="X42" s="12">
        <f t="shared" si="13"/>
        <v>4.0083333333333346</v>
      </c>
      <c r="Y42" s="12">
        <f t="shared" si="13"/>
        <v>4.0083333333333346</v>
      </c>
      <c r="Z42" s="12">
        <f t="shared" si="13"/>
        <v>4.0083333333333346</v>
      </c>
    </row>
    <row r="43" spans="1:55" x14ac:dyDescent="0.2">
      <c r="F43" s="2"/>
      <c r="G43" s="12">
        <v>0</v>
      </c>
      <c r="H43" s="12">
        <v>0.54999999999999993</v>
      </c>
      <c r="I43" s="12">
        <v>1.0999999999999999</v>
      </c>
      <c r="J43" s="12">
        <v>1.65</v>
      </c>
      <c r="K43" s="12">
        <v>2.1999999999999997</v>
      </c>
      <c r="L43" s="12">
        <v>2.7499999999999996</v>
      </c>
      <c r="M43" s="12"/>
      <c r="O43" s="12">
        <v>4.4916666666666663</v>
      </c>
      <c r="P43" s="12">
        <v>5.1333333333333329</v>
      </c>
      <c r="Q43" s="12">
        <v>5.7749999999999995</v>
      </c>
      <c r="R43" s="12">
        <v>6.4166666666666661</v>
      </c>
      <c r="S43" s="12">
        <v>7.0583333333333327</v>
      </c>
      <c r="T43" s="12">
        <v>7.6999999999999993</v>
      </c>
      <c r="U43" s="12">
        <v>8.341666666666665</v>
      </c>
      <c r="V43" s="12">
        <f t="shared" ref="V43:Z43" si="14">+U43</f>
        <v>8.341666666666665</v>
      </c>
      <c r="W43" s="12">
        <f t="shared" si="14"/>
        <v>8.341666666666665</v>
      </c>
      <c r="X43" s="12">
        <f t="shared" si="14"/>
        <v>8.341666666666665</v>
      </c>
      <c r="Y43" s="12">
        <f t="shared" si="14"/>
        <v>8.341666666666665</v>
      </c>
      <c r="Z43" s="12">
        <f t="shared" si="14"/>
        <v>8.341666666666665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BI39"/>
  <sheetViews>
    <sheetView workbookViewId="0">
      <selection activeCell="AJ22" sqref="AJ22"/>
    </sheetView>
  </sheetViews>
  <sheetFormatPr defaultColWidth="9.140625" defaultRowHeight="12.75" x14ac:dyDescent="0.2"/>
  <cols>
    <col min="1" max="1" width="3.5703125" style="43" customWidth="1"/>
    <col min="2" max="13" width="10.140625" style="43" bestFit="1" customWidth="1"/>
    <col min="14" max="14" width="9.140625" style="43"/>
    <col min="15" max="15" width="3.5703125" style="43" customWidth="1"/>
    <col min="16" max="27" width="9.140625" style="43" customWidth="1"/>
    <col min="28" max="28" width="9.140625" style="43"/>
    <col min="29" max="29" width="3.5703125" style="43" customWidth="1"/>
    <col min="30" max="35" width="11.140625" style="43" customWidth="1"/>
    <col min="36" max="36" width="15.42578125" style="43" customWidth="1"/>
    <col min="37" max="37" width="11.140625" style="47" customWidth="1"/>
    <col min="38" max="38" width="3.5703125" style="43" customWidth="1"/>
    <col min="39" max="44" width="11.140625" style="43" customWidth="1"/>
    <col min="45" max="45" width="14.28515625" style="43" customWidth="1"/>
    <col min="46" max="46" width="3.140625" style="43" customWidth="1"/>
    <col min="47" max="47" width="3.5703125" style="43" customWidth="1"/>
    <col min="48" max="48" width="10.140625" style="43" bestFit="1" customWidth="1"/>
    <col min="49" max="49" width="9.28515625" style="43" bestFit="1" customWidth="1"/>
    <col min="50" max="50" width="10.140625" style="43" bestFit="1" customWidth="1"/>
    <col min="51" max="55" width="10.85546875" style="43" customWidth="1"/>
    <col min="56" max="56" width="9.140625" style="43"/>
    <col min="57" max="57" width="15.140625" style="43" customWidth="1"/>
    <col min="58" max="61" width="9.28515625" style="43" bestFit="1" customWidth="1"/>
    <col min="62" max="16384" width="9.140625" style="43"/>
  </cols>
  <sheetData>
    <row r="1" spans="1:61" ht="13.5" thickBot="1" x14ac:dyDescent="0.25">
      <c r="B1" s="43" t="s">
        <v>362</v>
      </c>
      <c r="P1" s="43" t="s">
        <v>363</v>
      </c>
      <c r="AD1" s="43" t="s">
        <v>258</v>
      </c>
      <c r="AM1" s="43" t="s">
        <v>192</v>
      </c>
      <c r="AV1" s="43" t="s">
        <v>200</v>
      </c>
      <c r="AZ1" s="43" t="s">
        <v>206</v>
      </c>
      <c r="BE1" s="43" t="s">
        <v>202</v>
      </c>
    </row>
    <row r="2" spans="1:61" ht="25.5" x14ac:dyDescent="0.2">
      <c r="A2" s="143"/>
      <c r="B2" s="144">
        <v>2019</v>
      </c>
      <c r="C2" s="144">
        <v>2020</v>
      </c>
      <c r="D2" s="144">
        <v>2021</v>
      </c>
      <c r="E2" s="144">
        <v>2022</v>
      </c>
      <c r="F2" s="144">
        <v>2023</v>
      </c>
      <c r="G2" s="144">
        <v>2024</v>
      </c>
      <c r="H2" s="144">
        <v>2025</v>
      </c>
      <c r="I2" s="144">
        <v>2026</v>
      </c>
      <c r="J2" s="144">
        <v>2027</v>
      </c>
      <c r="K2" s="144">
        <v>2028</v>
      </c>
      <c r="L2" s="144">
        <v>2029</v>
      </c>
      <c r="M2" s="145">
        <v>2030</v>
      </c>
      <c r="O2" s="45"/>
      <c r="P2" s="44">
        <v>2019</v>
      </c>
      <c r="Q2" s="44">
        <v>2020</v>
      </c>
      <c r="R2" s="44">
        <v>2021</v>
      </c>
      <c r="S2" s="44">
        <v>2022</v>
      </c>
      <c r="T2" s="44">
        <v>2023</v>
      </c>
      <c r="U2" s="44">
        <v>2024</v>
      </c>
      <c r="V2" s="44">
        <v>2025</v>
      </c>
      <c r="W2" s="44">
        <v>2026</v>
      </c>
      <c r="X2" s="44">
        <v>2027</v>
      </c>
      <c r="Y2" s="44">
        <v>2028</v>
      </c>
      <c r="Z2" s="44">
        <v>2029</v>
      </c>
      <c r="AA2" s="44">
        <v>2030</v>
      </c>
      <c r="AC2" s="45"/>
      <c r="AD2" s="48" t="s">
        <v>168</v>
      </c>
      <c r="AE2" s="49" t="s">
        <v>169</v>
      </c>
      <c r="AF2" s="48" t="s">
        <v>170</v>
      </c>
      <c r="AG2" s="48" t="s">
        <v>193</v>
      </c>
      <c r="AH2" s="48" t="s">
        <v>194</v>
      </c>
      <c r="AI2" s="48" t="s">
        <v>145</v>
      </c>
      <c r="AJ2" s="50" t="s">
        <v>199</v>
      </c>
      <c r="AK2" s="51"/>
      <c r="AL2" s="45"/>
      <c r="AM2" s="48" t="s">
        <v>168</v>
      </c>
      <c r="AN2" s="49" t="s">
        <v>169</v>
      </c>
      <c r="AO2" s="48" t="s">
        <v>170</v>
      </c>
      <c r="AP2" s="48" t="s">
        <v>193</v>
      </c>
      <c r="AQ2" s="48" t="s">
        <v>194</v>
      </c>
      <c r="AR2" s="48" t="s">
        <v>145</v>
      </c>
      <c r="AS2" s="50" t="s">
        <v>199</v>
      </c>
      <c r="AU2" s="45"/>
      <c r="AV2" s="48" t="s">
        <v>168</v>
      </c>
      <c r="AW2" s="48" t="s">
        <v>201</v>
      </c>
      <c r="AX2" s="48" t="s">
        <v>145</v>
      </c>
      <c r="AY2" s="48" t="s">
        <v>203</v>
      </c>
      <c r="AZ2" s="48" t="s">
        <v>168</v>
      </c>
      <c r="BA2" s="48" t="s">
        <v>201</v>
      </c>
      <c r="BB2" s="48" t="s">
        <v>145</v>
      </c>
      <c r="BC2" s="48" t="s">
        <v>203</v>
      </c>
      <c r="BE2" s="48"/>
      <c r="BF2" s="48">
        <v>2008</v>
      </c>
      <c r="BG2" s="48">
        <v>2009</v>
      </c>
      <c r="BH2" s="48">
        <v>2010</v>
      </c>
      <c r="BI2" s="48" t="s">
        <v>156</v>
      </c>
    </row>
    <row r="3" spans="1:61" x14ac:dyDescent="0.2">
      <c r="A3" s="146" t="s">
        <v>72</v>
      </c>
      <c r="B3" s="90">
        <f t="shared" ref="B3:M3" si="0">+SUM(B4:B30)</f>
        <v>13146960.899400245</v>
      </c>
      <c r="C3" s="90">
        <f t="shared" si="0"/>
        <v>14571796.820718389</v>
      </c>
      <c r="D3" s="90">
        <f t="shared" si="0"/>
        <v>15293795.474575816</v>
      </c>
      <c r="E3" s="90">
        <f t="shared" si="0"/>
        <v>17421468.663354691</v>
      </c>
      <c r="F3" s="90">
        <f t="shared" si="0"/>
        <v>18846304.584672842</v>
      </c>
      <c r="G3" s="90">
        <f t="shared" si="0"/>
        <v>20271140.505990993</v>
      </c>
      <c r="H3" s="90">
        <f t="shared" si="0"/>
        <v>21695976.427309144</v>
      </c>
      <c r="I3" s="90">
        <f t="shared" si="0"/>
        <v>21701618.293627292</v>
      </c>
      <c r="J3" s="90">
        <f t="shared" si="0"/>
        <v>21707260.159945443</v>
      </c>
      <c r="K3" s="90">
        <f t="shared" si="0"/>
        <v>21712902.026263595</v>
      </c>
      <c r="L3" s="90">
        <f t="shared" si="0"/>
        <v>21718543.892581746</v>
      </c>
      <c r="M3" s="147">
        <f t="shared" si="0"/>
        <v>21724185.758899897</v>
      </c>
      <c r="O3" s="45" t="s">
        <v>72</v>
      </c>
      <c r="P3" s="46">
        <f t="shared" ref="P3:AA3" si="1">+SUM(P4:P30)</f>
        <v>1135384.2544002426</v>
      </c>
      <c r="Q3" s="46">
        <f t="shared" si="1"/>
        <v>1141026.120718393</v>
      </c>
      <c r="R3" s="46">
        <f t="shared" si="1"/>
        <v>1146667.9870365437</v>
      </c>
      <c r="S3" s="46">
        <f t="shared" si="1"/>
        <v>1152309.8533546939</v>
      </c>
      <c r="T3" s="46">
        <f t="shared" si="1"/>
        <v>1157951.7196728443</v>
      </c>
      <c r="U3" s="46">
        <f t="shared" si="1"/>
        <v>1163593.5859909945</v>
      </c>
      <c r="V3" s="46">
        <f t="shared" si="1"/>
        <v>1169235.4523091447</v>
      </c>
      <c r="W3" s="46">
        <f t="shared" si="1"/>
        <v>1174877.3186272953</v>
      </c>
      <c r="X3" s="46">
        <f t="shared" si="1"/>
        <v>1180519.1849454453</v>
      </c>
      <c r="Y3" s="46">
        <f t="shared" si="1"/>
        <v>1186161.0512635957</v>
      </c>
      <c r="Z3" s="46">
        <f t="shared" si="1"/>
        <v>1191802.9175817464</v>
      </c>
      <c r="AA3" s="46">
        <f t="shared" si="1"/>
        <v>1197444.7838998963</v>
      </c>
      <c r="AC3" s="45" t="s">
        <v>72</v>
      </c>
      <c r="AD3" s="46">
        <f>+SUM(AD4:AD30)</f>
        <v>12172691.745599756</v>
      </c>
      <c r="AE3" s="46">
        <f>+SUM(AE4:AE30)</f>
        <v>389088.82712934189</v>
      </c>
      <c r="AF3" s="46">
        <f>+SUM(AF4:AF30)</f>
        <v>375110.11544000014</v>
      </c>
      <c r="AG3" s="46">
        <f>+SUM(AG4:AG30)</f>
        <v>270417.85459294333</v>
      </c>
      <c r="AH3" s="46">
        <f>+SUM(AH4:AH30)</f>
        <v>100767.45723795747</v>
      </c>
      <c r="AI3" s="46">
        <f>+'Firms Agri Trade Restaurants'!S4</f>
        <v>13308076</v>
      </c>
      <c r="AJ3" s="52">
        <f>+SUM(AE3:AH3)/AI3</f>
        <v>8.5315432103051023E-2</v>
      </c>
      <c r="AK3" s="53"/>
      <c r="AL3" s="45" t="s">
        <v>72</v>
      </c>
      <c r="AM3" s="46">
        <f>+SUM(AM4:AM30)</f>
        <v>12164465.832851427</v>
      </c>
      <c r="AN3" s="46">
        <f>+SUM(AN4:AN30)</f>
        <v>388943.17634174018</v>
      </c>
      <c r="AO3" s="46">
        <f>+SUM(AO4:AO30)</f>
        <v>374947.1797241171</v>
      </c>
      <c r="AP3" s="46">
        <f>+SUM(AP4:AP30)</f>
        <v>270300.5987704164</v>
      </c>
      <c r="AQ3" s="46">
        <f>+SUM(AQ4:AQ30)</f>
        <v>100719.21231230003</v>
      </c>
      <c r="AR3" s="46">
        <f>+SUM(AM3:AQ3)</f>
        <v>13299376.000000002</v>
      </c>
      <c r="AS3" s="52">
        <f>+SUM(AN3:AQ3)/AR3</f>
        <v>8.5335595230074959E-2</v>
      </c>
      <c r="AU3" s="45" t="s">
        <v>72</v>
      </c>
      <c r="AV3" s="46">
        <f>+SUM(AV4:AV30)</f>
        <v>31222929.688107651</v>
      </c>
      <c r="AW3" s="46">
        <f>+SUM(AW4:AW30)</f>
        <v>1769042.7656009991</v>
      </c>
      <c r="AX3" s="46">
        <f>+SUM(AX4:AX30)</f>
        <v>32991972.453708649</v>
      </c>
      <c r="AY3" s="52">
        <f>+AW3/AX3</f>
        <v>5.3620400177138844E-2</v>
      </c>
      <c r="AZ3" s="46">
        <f>+SUM(AZ4:AZ30)</f>
        <v>14079925</v>
      </c>
      <c r="BA3" s="46">
        <f>+SUM(BA4:BA30)</f>
        <v>994578.45370864973</v>
      </c>
      <c r="BB3" s="46">
        <f>+SUM(BB4:BB30)</f>
        <v>15074503.453708649</v>
      </c>
      <c r="BC3" s="52">
        <f>+BA3/BB3</f>
        <v>6.5977526673620696E-2</v>
      </c>
    </row>
    <row r="4" spans="1:61" x14ac:dyDescent="0.2">
      <c r="A4" s="146" t="s">
        <v>0</v>
      </c>
      <c r="B4" s="90">
        <f>+P4+'Option 1, Step 1'!Q5</f>
        <v>254916.35554749862</v>
      </c>
      <c r="C4" s="90">
        <f>+Q4+'Option 1, Step 1'!R5</f>
        <v>236701.71927364438</v>
      </c>
      <c r="D4" s="90">
        <f>+R4+'Option 1, Step 1'!S5</f>
        <v>207202.10649262206</v>
      </c>
      <c r="E4" s="90">
        <f>+S4+'Option 1, Step 1'!T5</f>
        <v>234611.71418196283</v>
      </c>
      <c r="F4" s="90">
        <f>+T4+'Option 1, Step 1'!U5</f>
        <v>253103.99961243535</v>
      </c>
      <c r="G4" s="90">
        <f>+U4+'Option 1, Step 1'!V5</f>
        <v>271913.74418677884</v>
      </c>
      <c r="H4" s="90">
        <f>+V4+'Option 1, Step 1'!W5</f>
        <v>291035.81090830266</v>
      </c>
      <c r="I4" s="90">
        <f>+W4+'Option 1, Step 1'!X5</f>
        <v>292074.69607908366</v>
      </c>
      <c r="J4" s="90">
        <f>+X4+'Option 1, Step 1'!Y5</f>
        <v>293107.8885563566</v>
      </c>
      <c r="K4" s="90">
        <f>+Y4+'Option 1, Step 1'!Z5</f>
        <v>294064.01748632634</v>
      </c>
      <c r="L4" s="90">
        <f>+Z4+'Option 1, Step 1'!AA5</f>
        <v>295107.41921132407</v>
      </c>
      <c r="M4" s="147">
        <f>+AA4+'Option 1, Step 1'!AB5</f>
        <v>296190.04647618369</v>
      </c>
      <c r="O4" s="45" t="s">
        <v>0</v>
      </c>
      <c r="P4" s="46">
        <f>+SUM(AE4:AH4)</f>
        <v>27817.001351244628</v>
      </c>
      <c r="Q4" s="46">
        <f>+P4*'Option 4, Step 1'!R4/'Option 4, Step 1'!Q4</f>
        <v>28126.608386832111</v>
      </c>
      <c r="R4" s="46">
        <f>+Q4*'Option 4, Step 1'!S4/'Option 4, Step 1'!R4</f>
        <v>28436.215422419591</v>
      </c>
      <c r="S4" s="46">
        <f>+R4*'Option 4, Step 1'!T4/'Option 4, Step 1'!S4</f>
        <v>28745.822458007075</v>
      </c>
      <c r="T4" s="46">
        <f>+S4*'Option 4, Step 1'!U4/'Option 4, Step 1'!T4</f>
        <v>29055.429493594555</v>
      </c>
      <c r="U4" s="46">
        <f>+T4*'Option 4, Step 1'!V4/'Option 4, Step 1'!U4</f>
        <v>29365.036529182038</v>
      </c>
      <c r="V4" s="46">
        <f>+U4*'Option 4, Step 1'!W4/'Option 4, Step 1'!V4</f>
        <v>29674.643564769522</v>
      </c>
      <c r="W4" s="46">
        <f>+V4*'Option 4, Step 1'!X4/'Option 4, Step 1'!W4</f>
        <v>29984.250600357005</v>
      </c>
      <c r="X4" s="46">
        <f>+W4*'Option 4, Step 1'!Y4/'Option 4, Step 1'!X4</f>
        <v>30293.857635944489</v>
      </c>
      <c r="Y4" s="46">
        <f>+X4*'Option 4, Step 1'!Z4/'Option 4, Step 1'!Y4</f>
        <v>30603.464671531972</v>
      </c>
      <c r="Z4" s="46">
        <f>+Y4*'Option 4, Step 1'!AA4/'Option 4, Step 1'!Z4</f>
        <v>30913.071707119452</v>
      </c>
      <c r="AA4" s="46">
        <f>+Z4*'Option 4, Step 1'!AB4/'Option 4, Step 1'!AA4</f>
        <v>31222.678742706932</v>
      </c>
      <c r="AC4" s="45" t="s">
        <v>0</v>
      </c>
      <c r="AD4" s="46">
        <f t="shared" ref="AD4:AD30" si="2">+AM4*$AI4/$AR4</f>
        <v>147382.9986487554</v>
      </c>
      <c r="AE4" s="46">
        <f t="shared" ref="AE4:AE30" si="3">+AN4*$AI4/$AR4</f>
        <v>8918.8413513867272</v>
      </c>
      <c r="AF4" s="46">
        <f t="shared" ref="AF4:AF30" si="4">+AO4*$AI4/$AR4</f>
        <v>9645.2196072530769</v>
      </c>
      <c r="AG4" s="46">
        <f t="shared" ref="AG4:AG30" si="5">+AP4*$AI4/$AR4</f>
        <v>6634.106942721638</v>
      </c>
      <c r="AH4" s="46">
        <f t="shared" ref="AH4:AH30" si="6">+AQ4*$AI4/$AR4</f>
        <v>2618.8334498831823</v>
      </c>
      <c r="AI4" s="46">
        <f>+'Firms Agri Trade Restaurants'!S5</f>
        <v>175200</v>
      </c>
      <c r="AJ4" s="52">
        <f t="shared" ref="AJ4:AJ30" si="7">+SUM(AE4:AH4)/AI4</f>
        <v>0.15877283876281181</v>
      </c>
      <c r="AK4" s="53"/>
      <c r="AL4" s="45" t="s">
        <v>0</v>
      </c>
      <c r="AM4" s="46">
        <f>+'Data by size class'!AO4+SUM('Data by size class'!BP4:BR4)</f>
        <v>147382.9986487554</v>
      </c>
      <c r="AN4" s="46">
        <f>+'Data by size class'!AP4+SUM('Data by size class'!BS4:BU4)</f>
        <v>8918.8413513867272</v>
      </c>
      <c r="AO4" s="46">
        <f>+'Data by size class'!AQ4</f>
        <v>9645.2196072530769</v>
      </c>
      <c r="AP4" s="46">
        <f>+'Data by size class'!AR4</f>
        <v>6634.106942721638</v>
      </c>
      <c r="AQ4" s="46">
        <f>+'Data by size class'!AS4</f>
        <v>2618.8334498831823</v>
      </c>
      <c r="AR4" s="46">
        <f>+SUM(AM4:AQ4)</f>
        <v>175200</v>
      </c>
      <c r="AS4" s="52">
        <f t="shared" ref="AS4:AS30" si="8">+SUM(AN4:AQ4)/AR4</f>
        <v>0.15877283876281181</v>
      </c>
      <c r="AU4" s="45" t="s">
        <v>0</v>
      </c>
      <c r="AV4" s="46">
        <f>+'Data by size class'!N4+'Firms Agri Trade Restaurants'!C5-'Data by size class'!AX4</f>
        <v>404759.5553809898</v>
      </c>
      <c r="AW4" s="46">
        <f>+SUM('Data by size class'!O4,'Data by size class'!Q4:S4)+'Data by size class'!AX4</f>
        <v>44302.44461901021</v>
      </c>
      <c r="AX4" s="46">
        <f>+SUM(AV4:AW4)</f>
        <v>449062</v>
      </c>
      <c r="AY4" s="52">
        <f>+AW4/AX4</f>
        <v>9.8655518879375695E-2</v>
      </c>
      <c r="AZ4" s="46">
        <f>+AV4-(SUM('Data by size class'!AW4,'Data by size class'!AY4,'Data by size class'!BA4)-SUM('Data by size class'!AX4,'Data by size class'!AZ4,'Data by size class'!BB4))</f>
        <v>168774</v>
      </c>
      <c r="BA4" s="46">
        <f>+AW4-SUM('Data by size class'!AX4,'Data by size class'!AZ4,'Data by size class'!BB4)</f>
        <v>25293</v>
      </c>
      <c r="BB4" s="46">
        <f>+AX4-SUM('Data by size class'!AW4,'Data by size class'!AY4,'Data by size class'!BA4)</f>
        <v>194067</v>
      </c>
      <c r="BC4" s="52">
        <f>+BA4/BB4</f>
        <v>0.13033127734236113</v>
      </c>
      <c r="BE4" s="54" t="s">
        <v>162</v>
      </c>
      <c r="BF4" s="55">
        <v>3.92</v>
      </c>
      <c r="BG4" s="55">
        <v>3.44</v>
      </c>
      <c r="BH4" s="55">
        <v>3.24</v>
      </c>
      <c r="BI4" s="56">
        <v>3.5333333333333332</v>
      </c>
    </row>
    <row r="5" spans="1:61" x14ac:dyDescent="0.2">
      <c r="A5" s="146" t="s">
        <v>1</v>
      </c>
      <c r="B5" s="90">
        <f>+P5+'Option 1, Step 1'!Q6</f>
        <v>276908.04065487155</v>
      </c>
      <c r="C5" s="90">
        <f>+Q5+'Option 1, Step 1'!R6</f>
        <v>307598.14665204647</v>
      </c>
      <c r="D5" s="90">
        <f>+R5+'Option 1, Step 1'!S6</f>
        <v>323236.09328067646</v>
      </c>
      <c r="E5" s="90">
        <f>+S5+'Option 1, Step 1'!T6</f>
        <v>368967.10813540395</v>
      </c>
      <c r="F5" s="90">
        <f>+T5+'Option 1, Step 1'!U6</f>
        <v>400306.01908603613</v>
      </c>
      <c r="G5" s="90">
        <f>+U5+'Option 1, Step 1'!V6</f>
        <v>431938.87933254871</v>
      </c>
      <c r="H5" s="90">
        <f>+V5+'Option 1, Step 1'!W6</f>
        <v>463853.13973141322</v>
      </c>
      <c r="I5" s="90">
        <f>+W5+'Option 1, Step 1'!X6</f>
        <v>465516.01669361757</v>
      </c>
      <c r="J5" s="90">
        <f>+X5+'Option 1, Step 1'!Y6</f>
        <v>467141.10368051752</v>
      </c>
      <c r="K5" s="90">
        <f>+Y5+'Option 1, Step 1'!Z6</f>
        <v>468703.2333323232</v>
      </c>
      <c r="L5" s="90">
        <f>+Z5+'Option 1, Step 1'!AA6</f>
        <v>470339.64476999728</v>
      </c>
      <c r="M5" s="147">
        <f>+AA5+'Option 1, Step 1'!AB6</f>
        <v>472003.46508056583</v>
      </c>
      <c r="O5" s="45" t="s">
        <v>1</v>
      </c>
      <c r="P5" s="46">
        <f t="shared" ref="P5:P30" si="9">+SUM(AE5:AH5)</f>
        <v>22833.778098823597</v>
      </c>
      <c r="Q5" s="46">
        <f>+P5*'Option 4, Step 1'!R5/'Option 4, Step 1'!Q5</f>
        <v>23293.63367904977</v>
      </c>
      <c r="R5" s="46">
        <f>+Q5*'Option 4, Step 1'!S5/'Option 4, Step 1'!R5</f>
        <v>23753.489259275942</v>
      </c>
      <c r="S5" s="46">
        <f>+R5*'Option 4, Step 1'!T5/'Option 4, Step 1'!S5</f>
        <v>24213.344839502111</v>
      </c>
      <c r="T5" s="46">
        <f>+S5*'Option 4, Step 1'!U5/'Option 4, Step 1'!T5</f>
        <v>24673.200419728284</v>
      </c>
      <c r="U5" s="46">
        <f>+T5*'Option 4, Step 1'!V5/'Option 4, Step 1'!U5</f>
        <v>25133.055999954457</v>
      </c>
      <c r="V5" s="46">
        <f>+U5*'Option 4, Step 1'!W5/'Option 4, Step 1'!V5</f>
        <v>25592.911580180629</v>
      </c>
      <c r="W5" s="46">
        <f>+V5*'Option 4, Step 1'!X5/'Option 4, Step 1'!W5</f>
        <v>26052.767160406802</v>
      </c>
      <c r="X5" s="46">
        <f>+W5*'Option 4, Step 1'!Y5/'Option 4, Step 1'!X5</f>
        <v>26512.622740632974</v>
      </c>
      <c r="Y5" s="46">
        <f>+X5*'Option 4, Step 1'!Z5/'Option 4, Step 1'!Y5</f>
        <v>26972.478320859143</v>
      </c>
      <c r="Z5" s="46">
        <f>+Y5*'Option 4, Step 1'!AA5/'Option 4, Step 1'!Z5</f>
        <v>27432.333901085316</v>
      </c>
      <c r="AA5" s="46">
        <f>+Z5*'Option 4, Step 1'!AB5/'Option 4, Step 1'!AA5</f>
        <v>27892.189481311485</v>
      </c>
      <c r="AC5" s="45" t="s">
        <v>1</v>
      </c>
      <c r="AD5" s="46">
        <f t="shared" si="2"/>
        <v>343366.22190117638</v>
      </c>
      <c r="AE5" s="46">
        <f t="shared" si="3"/>
        <v>6990.1452303487322</v>
      </c>
      <c r="AF5" s="46">
        <f t="shared" si="4"/>
        <v>8003.1944787826214</v>
      </c>
      <c r="AG5" s="46">
        <f t="shared" si="5"/>
        <v>5522.4629977770001</v>
      </c>
      <c r="AH5" s="46">
        <f t="shared" si="6"/>
        <v>2317.9753919152431</v>
      </c>
      <c r="AI5" s="46">
        <f>+'Firms Agri Trade Restaurants'!S6</f>
        <v>366200</v>
      </c>
      <c r="AJ5" s="52">
        <f t="shared" si="7"/>
        <v>6.235329901371818E-2</v>
      </c>
      <c r="AK5" s="53"/>
      <c r="AL5" s="45" t="s">
        <v>1</v>
      </c>
      <c r="AM5" s="46">
        <f>+'Data by size class'!AO5+SUM('Data by size class'!BP5:BR5)</f>
        <v>343366.22190117638</v>
      </c>
      <c r="AN5" s="46">
        <f>+'Data by size class'!AP5+SUM('Data by size class'!BS5:BU5)</f>
        <v>6990.1452303487331</v>
      </c>
      <c r="AO5" s="46">
        <f>+'Data by size class'!AQ5</f>
        <v>8003.1944787826224</v>
      </c>
      <c r="AP5" s="46">
        <f>+'Data by size class'!AR5</f>
        <v>5522.4629977770001</v>
      </c>
      <c r="AQ5" s="46">
        <f>+'Data by size class'!AS5</f>
        <v>2317.9753919152431</v>
      </c>
      <c r="AR5" s="46">
        <f t="shared" ref="AR5:AR30" si="10">+SUM(AM5:AQ5)</f>
        <v>366200</v>
      </c>
      <c r="AS5" s="52">
        <f t="shared" si="8"/>
        <v>6.235329901371818E-2</v>
      </c>
      <c r="AU5" s="45" t="s">
        <v>1</v>
      </c>
      <c r="AV5" s="46">
        <f>+'Data by size class'!N5+'Firms Agri Trade Restaurants'!C6-'Data by size class'!AX5</f>
        <v>629316.62052274926</v>
      </c>
      <c r="AW5" s="46">
        <f>+SUM('Data by size class'!O5,'Data by size class'!Q5:S5)+'Data by size class'!AX5</f>
        <v>41555.379477250724</v>
      </c>
      <c r="AX5" s="46">
        <f t="shared" ref="AX5:AX30" si="11">+SUM(AV5:AW5)</f>
        <v>670872</v>
      </c>
      <c r="AY5" s="52">
        <f t="shared" ref="AY5:AY30" si="12">+AW5/AX5</f>
        <v>6.1942336954367933E-2</v>
      </c>
      <c r="AZ5" s="46">
        <f>+AV5-(SUM('Data by size class'!AW5,'Data by size class'!AY5,'Data by size class'!BA5)-SUM('Data by size class'!AX5,'Data by size class'!AZ5,'Data by size class'!BB5))</f>
        <v>422294</v>
      </c>
      <c r="BA5" s="46">
        <f>+AW5-SUM('Data by size class'!AX5,'Data by size class'!AZ5,'Data by size class'!BB5)</f>
        <v>19315</v>
      </c>
      <c r="BB5" s="46">
        <f>+AX5-SUM('Data by size class'!AW5,'Data by size class'!AY5,'Data by size class'!BA5)</f>
        <v>441609</v>
      </c>
      <c r="BC5" s="52">
        <f t="shared" ref="BC5:BC30" si="13">+BA5/BB5</f>
        <v>4.3737786141133897E-2</v>
      </c>
      <c r="BE5" s="54" t="s">
        <v>163</v>
      </c>
      <c r="BF5" s="43">
        <v>2.94</v>
      </c>
      <c r="BG5" s="43">
        <v>2.72</v>
      </c>
      <c r="BH5" s="43">
        <v>1.94</v>
      </c>
      <c r="BI5" s="57">
        <v>2.5333333333333332</v>
      </c>
    </row>
    <row r="6" spans="1:61" x14ac:dyDescent="0.2">
      <c r="A6" s="146" t="s">
        <v>2</v>
      </c>
      <c r="B6" s="90">
        <f>+P6+'Option 1, Step 1'!Q7</f>
        <v>191156.10979964625</v>
      </c>
      <c r="C6" s="90">
        <f>+Q6+'Option 1, Step 1'!R7</f>
        <v>218458.46761671745</v>
      </c>
      <c r="D6" s="90">
        <f>+R6+'Option 1, Step 1'!S7</f>
        <v>234183.02426184478</v>
      </c>
      <c r="E6" s="90">
        <f>+S6+'Option 1, Step 1'!T7</f>
        <v>264807.80618450377</v>
      </c>
      <c r="F6" s="90">
        <f>+T6+'Option 1, Step 1'!U7</f>
        <v>284233.40699050092</v>
      </c>
      <c r="G6" s="90">
        <f>+U6+'Option 1, Step 1'!V7</f>
        <v>303324.97860092879</v>
      </c>
      <c r="H6" s="90">
        <f>+V6+'Option 1, Step 1'!W7</f>
        <v>322035.06200020149</v>
      </c>
      <c r="I6" s="90">
        <f>+W6+'Option 1, Step 1'!X7</f>
        <v>319150.86424986424</v>
      </c>
      <c r="J6" s="90">
        <f>+X6+'Option 1, Step 1'!Y7</f>
        <v>316986.6435627974</v>
      </c>
      <c r="K6" s="90">
        <f>+Y6+'Option 1, Step 1'!Z7</f>
        <v>315082.74871021853</v>
      </c>
      <c r="L6" s="90">
        <f>+Z6+'Option 1, Step 1'!AA7</f>
        <v>313032.86069453013</v>
      </c>
      <c r="M6" s="147">
        <f>+AA6+'Option 1, Step 1'!AB7</f>
        <v>311289.17861313513</v>
      </c>
      <c r="O6" s="45" t="s">
        <v>2</v>
      </c>
      <c r="P6" s="46">
        <f t="shared" si="9"/>
        <v>11620.589975898798</v>
      </c>
      <c r="Q6" s="46">
        <f>+P6*'Option 4, Step 1'!R6/'Option 4, Step 1'!Q6</f>
        <v>11835.115991912944</v>
      </c>
      <c r="R6" s="46">
        <f>+Q6*'Option 4, Step 1'!S6/'Option 4, Step 1'!R6</f>
        <v>12049.64200792709</v>
      </c>
      <c r="S6" s="46">
        <f>+R6*'Option 4, Step 1'!T6/'Option 4, Step 1'!S6</f>
        <v>12264.168023941236</v>
      </c>
      <c r="T6" s="46">
        <f>+S6*'Option 4, Step 1'!U6/'Option 4, Step 1'!T6</f>
        <v>12478.694039955382</v>
      </c>
      <c r="U6" s="46">
        <f>+T6*'Option 4, Step 1'!V6/'Option 4, Step 1'!U6</f>
        <v>12693.220055969528</v>
      </c>
      <c r="V6" s="46">
        <f>+U6*'Option 4, Step 1'!W6/'Option 4, Step 1'!V6</f>
        <v>12907.746071983674</v>
      </c>
      <c r="W6" s="46">
        <f>+V6*'Option 4, Step 1'!X6/'Option 4, Step 1'!W6</f>
        <v>13122.272087997821</v>
      </c>
      <c r="X6" s="46">
        <f>+W6*'Option 4, Step 1'!Y6/'Option 4, Step 1'!X6</f>
        <v>13336.798104011967</v>
      </c>
      <c r="Y6" s="46">
        <f>+X6*'Option 4, Step 1'!Z6/'Option 4, Step 1'!Y6</f>
        <v>13551.324120026113</v>
      </c>
      <c r="Z6" s="46">
        <f>+Y6*'Option 4, Step 1'!AA6/'Option 4, Step 1'!Z6</f>
        <v>13765.850136040259</v>
      </c>
      <c r="AA6" s="46">
        <f>+Z6*'Option 4, Step 1'!AB6/'Option 4, Step 1'!AA6</f>
        <v>13980.376152054405</v>
      </c>
      <c r="AC6" s="45" t="s">
        <v>2</v>
      </c>
      <c r="AD6" s="46">
        <f t="shared" si="2"/>
        <v>100779.41002410121</v>
      </c>
      <c r="AE6" s="46">
        <f t="shared" si="3"/>
        <v>3233.7145199444835</v>
      </c>
      <c r="AF6" s="46">
        <f t="shared" si="4"/>
        <v>4229.1178527986049</v>
      </c>
      <c r="AG6" s="46">
        <f t="shared" si="5"/>
        <v>3249.3766142498662</v>
      </c>
      <c r="AH6" s="46">
        <f t="shared" si="6"/>
        <v>908.3809889058432</v>
      </c>
      <c r="AI6" s="46">
        <f>+'Firms Agri Trade Restaurants'!S7</f>
        <v>112400</v>
      </c>
      <c r="AJ6" s="52">
        <f t="shared" si="7"/>
        <v>0.10338603181404625</v>
      </c>
      <c r="AK6" s="53"/>
      <c r="AL6" s="45" t="s">
        <v>2</v>
      </c>
      <c r="AM6" s="46">
        <f>+'Data by size class'!AO6+SUM('Data by size class'!BP6:BR6)</f>
        <v>100779.41002410121</v>
      </c>
      <c r="AN6" s="46">
        <f>+'Data by size class'!AP6+SUM('Data by size class'!BS6:BU6)</f>
        <v>3233.7145199444835</v>
      </c>
      <c r="AO6" s="46">
        <f>+'Data by size class'!AQ6</f>
        <v>4229.1178527986049</v>
      </c>
      <c r="AP6" s="46">
        <f>+'Data by size class'!AR6</f>
        <v>3249.3766142498662</v>
      </c>
      <c r="AQ6" s="46">
        <f>+'Data by size class'!AS6</f>
        <v>908.3809889058432</v>
      </c>
      <c r="AR6" s="46">
        <f t="shared" si="10"/>
        <v>112400</v>
      </c>
      <c r="AS6" s="52">
        <f t="shared" si="8"/>
        <v>0.10338603181404625</v>
      </c>
      <c r="AU6" s="45" t="s">
        <v>2</v>
      </c>
      <c r="AV6" s="46">
        <f>+'Data by size class'!N6+'Firms Agri Trade Restaurants'!C7-'Data by size class'!AX6</f>
        <v>517388.00031092914</v>
      </c>
      <c r="AW6" s="46">
        <f>+SUM('Data by size class'!O6,'Data by size class'!Q6:S6)+'Data by size class'!AX6</f>
        <v>29100.999689070839</v>
      </c>
      <c r="AX6" s="46">
        <f t="shared" si="11"/>
        <v>546489</v>
      </c>
      <c r="AY6" s="52">
        <f t="shared" si="12"/>
        <v>5.3250842540418633E-2</v>
      </c>
      <c r="AZ6" s="46">
        <f>+AV6-(SUM('Data by size class'!AW6,'Data by size class'!AY6,'Data by size class'!BA6)-SUM('Data by size class'!AX6,'Data by size class'!AZ6,'Data by size class'!BB6))</f>
        <v>157613</v>
      </c>
      <c r="BA6" s="46">
        <f>+AW6-SUM('Data by size class'!AX6,'Data by size class'!AZ6,'Data by size class'!BB6)</f>
        <v>17562</v>
      </c>
      <c r="BB6" s="46">
        <f>+AX6-SUM('Data by size class'!AW6,'Data by size class'!AY6,'Data by size class'!BA6)</f>
        <v>175175</v>
      </c>
      <c r="BC6" s="52">
        <f t="shared" si="13"/>
        <v>0.10025403168260311</v>
      </c>
      <c r="BE6" s="54" t="s">
        <v>64</v>
      </c>
      <c r="BF6" s="43">
        <v>6.09</v>
      </c>
      <c r="BG6" s="43">
        <v>5.91</v>
      </c>
      <c r="BH6" s="43">
        <v>3.68</v>
      </c>
      <c r="BI6" s="57">
        <v>5.2266666666666666</v>
      </c>
    </row>
    <row r="7" spans="1:61" x14ac:dyDescent="0.2">
      <c r="A7" s="146" t="s">
        <v>3</v>
      </c>
      <c r="B7" s="90">
        <f>+P7+'Option 1, Step 1'!Q8</f>
        <v>31093.724109821385</v>
      </c>
      <c r="C7" s="90">
        <f>+Q7+'Option 1, Step 1'!R8</f>
        <v>38225.647792621181</v>
      </c>
      <c r="D7" s="90">
        <f>+R7+'Option 1, Step 1'!S8</f>
        <v>43470.815897282031</v>
      </c>
      <c r="E7" s="90">
        <f>+S7+'Option 1, Step 1'!T8</f>
        <v>49852.626163480905</v>
      </c>
      <c r="F7" s="90">
        <f>+T7+'Option 1, Step 1'!U8</f>
        <v>54300.010550438266</v>
      </c>
      <c r="G7" s="90">
        <f>+U7+'Option 1, Step 1'!V8</f>
        <v>58789.757410048354</v>
      </c>
      <c r="H7" s="90">
        <f>+V7+'Option 1, Step 1'!W8</f>
        <v>63354.318096845236</v>
      </c>
      <c r="I7" s="90">
        <f>+W7+'Option 1, Step 1'!X8</f>
        <v>63709.695339227626</v>
      </c>
      <c r="J7" s="90">
        <f>+X7+'Option 1, Step 1'!Y8</f>
        <v>64074.844883900216</v>
      </c>
      <c r="K7" s="90">
        <f>+Y7+'Option 1, Step 1'!Z8</f>
        <v>64490.382043392194</v>
      </c>
      <c r="L7" s="90">
        <f>+Z7+'Option 1, Step 1'!AA8</f>
        <v>64926.027289555233</v>
      </c>
      <c r="M7" s="147">
        <f>+AA7+'Option 1, Step 1'!AB8</f>
        <v>65362.718171927416</v>
      </c>
      <c r="O7" s="45" t="s">
        <v>3</v>
      </c>
      <c r="P7" s="46">
        <f t="shared" si="9"/>
        <v>3176.855074801475</v>
      </c>
      <c r="Q7" s="46">
        <f>+P7*'Option 4, Step 1'!R7/'Option 4, Step 1'!Q7</f>
        <v>3218.7187523685125</v>
      </c>
      <c r="R7" s="46">
        <f>+Q7*'Option 4, Step 1'!S7/'Option 4, Step 1'!R7</f>
        <v>3260.58242993555</v>
      </c>
      <c r="S7" s="46">
        <f>+R7*'Option 4, Step 1'!T7/'Option 4, Step 1'!S7</f>
        <v>3302.4461075025874</v>
      </c>
      <c r="T7" s="46">
        <f>+S7*'Option 4, Step 1'!U7/'Option 4, Step 1'!T7</f>
        <v>3344.3097850696249</v>
      </c>
      <c r="U7" s="46">
        <f>+T7*'Option 4, Step 1'!V7/'Option 4, Step 1'!U7</f>
        <v>3386.1734626366624</v>
      </c>
      <c r="V7" s="46">
        <f>+U7*'Option 4, Step 1'!W7/'Option 4, Step 1'!V7</f>
        <v>3428.0371402036999</v>
      </c>
      <c r="W7" s="46">
        <f>+V7*'Option 4, Step 1'!X7/'Option 4, Step 1'!W7</f>
        <v>3469.9008177707374</v>
      </c>
      <c r="X7" s="46">
        <f>+W7*'Option 4, Step 1'!Y7/'Option 4, Step 1'!X7</f>
        <v>3511.7644953377749</v>
      </c>
      <c r="Y7" s="46">
        <f>+X7*'Option 4, Step 1'!Z7/'Option 4, Step 1'!Y7</f>
        <v>3553.6281729048123</v>
      </c>
      <c r="Z7" s="46">
        <f>+Y7*'Option 4, Step 1'!AA7/'Option 4, Step 1'!Z7</f>
        <v>3595.4918504718498</v>
      </c>
      <c r="AA7" s="46">
        <f>+Z7*'Option 4, Step 1'!AB7/'Option 4, Step 1'!AA7</f>
        <v>3637.3555280388878</v>
      </c>
      <c r="AC7" s="45" t="s">
        <v>3</v>
      </c>
      <c r="AD7" s="46">
        <f t="shared" si="2"/>
        <v>30023.144925198529</v>
      </c>
      <c r="AE7" s="46">
        <f t="shared" si="3"/>
        <v>1043.3404831329406</v>
      </c>
      <c r="AF7" s="46">
        <f t="shared" si="4"/>
        <v>1057.7930504601993</v>
      </c>
      <c r="AG7" s="46">
        <f t="shared" si="5"/>
        <v>878.86166751469148</v>
      </c>
      <c r="AH7" s="46">
        <f t="shared" si="6"/>
        <v>196.85987369364369</v>
      </c>
      <c r="AI7" s="46">
        <f>+'Firms Agri Trade Restaurants'!S8</f>
        <v>33200</v>
      </c>
      <c r="AJ7" s="52">
        <f t="shared" si="7"/>
        <v>9.5688405867514301E-2</v>
      </c>
      <c r="AK7" s="53"/>
      <c r="AL7" s="45" t="s">
        <v>3</v>
      </c>
      <c r="AM7" s="46">
        <f>+'Data by size class'!AO7+SUM('Data by size class'!BP7:BR7)</f>
        <v>30023.144925198529</v>
      </c>
      <c r="AN7" s="46">
        <f>+'Data by size class'!AP7+SUM('Data by size class'!BS7:BU7)</f>
        <v>1043.3404831329406</v>
      </c>
      <c r="AO7" s="46">
        <f>+'Data by size class'!AQ7</f>
        <v>1057.7930504601993</v>
      </c>
      <c r="AP7" s="46">
        <f>+'Data by size class'!AR7</f>
        <v>878.86166751469148</v>
      </c>
      <c r="AQ7" s="46">
        <f>+'Data by size class'!AS7</f>
        <v>196.85987369364369</v>
      </c>
      <c r="AR7" s="46">
        <f t="shared" si="10"/>
        <v>33200</v>
      </c>
      <c r="AS7" s="52">
        <f t="shared" si="8"/>
        <v>9.5688405867514301E-2</v>
      </c>
      <c r="AU7" s="45" t="s">
        <v>3</v>
      </c>
      <c r="AV7" s="46">
        <f>+'Data by size class'!N7+'Firms Agri Trade Restaurants'!C8-'Data by size class'!AX7</f>
        <v>85686.848996217625</v>
      </c>
      <c r="AW7" s="46">
        <f>+SUM('Data by size class'!O7,'Data by size class'!Q7:S7)+'Data by size class'!AX7</f>
        <v>4590.972010375488</v>
      </c>
      <c r="AX7" s="46">
        <f t="shared" si="11"/>
        <v>90277.82100659312</v>
      </c>
      <c r="AY7" s="52">
        <f t="shared" si="12"/>
        <v>5.0853819456278225E-2</v>
      </c>
      <c r="AZ7" s="46">
        <f>+AV7-(SUM('Data by size class'!AW7,'Data by size class'!AY7,'Data by size class'!BA7)-SUM('Data by size class'!AX7,'Data by size class'!AZ7,'Data by size class'!BB7))</f>
        <v>30097.999999999993</v>
      </c>
      <c r="BA7" s="46">
        <f>+AW7-SUM('Data by size class'!AX7,'Data by size class'!AZ7,'Data by size class'!BB7)</f>
        <v>2448.8210065931198</v>
      </c>
      <c r="BB7" s="46">
        <f>+AX7-SUM('Data by size class'!AW7,'Data by size class'!AY7,'Data by size class'!BA7)</f>
        <v>32546.82100659312</v>
      </c>
      <c r="BC7" s="52">
        <f t="shared" si="13"/>
        <v>7.5239944512462645E-2</v>
      </c>
      <c r="BE7" s="54" t="s">
        <v>65</v>
      </c>
      <c r="BF7" s="43">
        <v>7.92</v>
      </c>
      <c r="BG7" s="43">
        <v>5.23</v>
      </c>
      <c r="BH7" s="43">
        <v>3.43</v>
      </c>
      <c r="BI7" s="57">
        <v>5.5266666666666673</v>
      </c>
    </row>
    <row r="8" spans="1:61" x14ac:dyDescent="0.2">
      <c r="A8" s="146" t="s">
        <v>4</v>
      </c>
      <c r="B8" s="90">
        <f>+P8+'Option 1, Step 1'!Q9</f>
        <v>216541.66919574828</v>
      </c>
      <c r="C8" s="90">
        <f>+Q8+'Option 1, Step 1'!R9</f>
        <v>263577.44976081501</v>
      </c>
      <c r="D8" s="90">
        <f>+R8+'Option 1, Step 1'!S9</f>
        <v>298631.35699972417</v>
      </c>
      <c r="E8" s="90">
        <f>+S8+'Option 1, Step 1'!T9</f>
        <v>337338.07068229647</v>
      </c>
      <c r="F8" s="90">
        <f>+T8+'Option 1, Step 1'!U9</f>
        <v>362682.0577627595</v>
      </c>
      <c r="G8" s="90">
        <f>+U8+'Option 1, Step 1'!V9</f>
        <v>388224.82635058678</v>
      </c>
      <c r="H8" s="90">
        <f>+V8+'Option 1, Step 1'!W9</f>
        <v>413889.17606737686</v>
      </c>
      <c r="I8" s="90">
        <f>+W8+'Option 1, Step 1'!X9</f>
        <v>413556.45425677922</v>
      </c>
      <c r="J8" s="90">
        <f>+X8+'Option 1, Step 1'!Y9</f>
        <v>413180.98120170762</v>
      </c>
      <c r="K8" s="90">
        <f>+Y8+'Option 1, Step 1'!Z9</f>
        <v>412969.28366143518</v>
      </c>
      <c r="L8" s="90">
        <f>+Z8+'Option 1, Step 1'!AA9</f>
        <v>412865.08223776123</v>
      </c>
      <c r="M8" s="147">
        <f>+AA8+'Option 1, Step 1'!AB9</f>
        <v>412604.22813067969</v>
      </c>
      <c r="O8" s="45" t="s">
        <v>4</v>
      </c>
      <c r="P8" s="46">
        <f t="shared" si="9"/>
        <v>32093.221663179942</v>
      </c>
      <c r="Q8" s="46">
        <f>+P8*'Option 4, Step 1'!R8/'Option 4, Step 1'!Q8</f>
        <v>32404.581103299821</v>
      </c>
      <c r="R8" s="46">
        <f>+Q8*'Option 4, Step 1'!S8/'Option 4, Step 1'!R8</f>
        <v>32715.9405434197</v>
      </c>
      <c r="S8" s="46">
        <f>+R8*'Option 4, Step 1'!T8/'Option 4, Step 1'!S8</f>
        <v>33027.299983539575</v>
      </c>
      <c r="T8" s="46">
        <f>+S8*'Option 4, Step 1'!U8/'Option 4, Step 1'!T8</f>
        <v>33338.659423659454</v>
      </c>
      <c r="U8" s="46">
        <f>+T8*'Option 4, Step 1'!V8/'Option 4, Step 1'!U8</f>
        <v>33650.018863779333</v>
      </c>
      <c r="V8" s="46">
        <f>+U8*'Option 4, Step 1'!W8/'Option 4, Step 1'!V8</f>
        <v>33961.378303899211</v>
      </c>
      <c r="W8" s="46">
        <f>+V8*'Option 4, Step 1'!X8/'Option 4, Step 1'!W8</f>
        <v>34272.73774401909</v>
      </c>
      <c r="X8" s="46">
        <f>+W8*'Option 4, Step 1'!Y8/'Option 4, Step 1'!X8</f>
        <v>34584.097184138969</v>
      </c>
      <c r="Y8" s="46">
        <f>+X8*'Option 4, Step 1'!Z8/'Option 4, Step 1'!Y8</f>
        <v>34895.456624258848</v>
      </c>
      <c r="Z8" s="46">
        <f>+Y8*'Option 4, Step 1'!AA8/'Option 4, Step 1'!Z8</f>
        <v>35206.816064378727</v>
      </c>
      <c r="AA8" s="46">
        <f>+Z8*'Option 4, Step 1'!AB8/'Option 4, Step 1'!AA8</f>
        <v>35518.175504498606</v>
      </c>
      <c r="AC8" s="45" t="s">
        <v>4</v>
      </c>
      <c r="AD8" s="46">
        <f t="shared" si="2"/>
        <v>559296.77833682008</v>
      </c>
      <c r="AE8" s="46">
        <f t="shared" si="3"/>
        <v>8802.7307190683878</v>
      </c>
      <c r="AF8" s="46">
        <f t="shared" si="4"/>
        <v>10462.82663111542</v>
      </c>
      <c r="AG8" s="46">
        <f t="shared" si="5"/>
        <v>9089.4751545651397</v>
      </c>
      <c r="AH8" s="46">
        <f t="shared" si="6"/>
        <v>3738.1891584309951</v>
      </c>
      <c r="AI8" s="46">
        <f>+'Firms Agri Trade Restaurants'!S9</f>
        <v>591390</v>
      </c>
      <c r="AJ8" s="52">
        <f t="shared" si="7"/>
        <v>5.4267440543769661E-2</v>
      </c>
      <c r="AK8" s="53"/>
      <c r="AL8" s="45" t="s">
        <v>4</v>
      </c>
      <c r="AM8" s="46">
        <f>+'Data by size class'!AO8+SUM('Data by size class'!BP8:BR8)</f>
        <v>559296.77833682019</v>
      </c>
      <c r="AN8" s="46">
        <f>+'Data by size class'!AP8+SUM('Data by size class'!BS8:BU8)</f>
        <v>8802.7307190683914</v>
      </c>
      <c r="AO8" s="46">
        <f>+'Data by size class'!AQ8</f>
        <v>10462.826631115424</v>
      </c>
      <c r="AP8" s="46">
        <f>+'Data by size class'!AR8</f>
        <v>9089.4751545651434</v>
      </c>
      <c r="AQ8" s="46">
        <f>+'Data by size class'!AS8</f>
        <v>3738.1891584309965</v>
      </c>
      <c r="AR8" s="46">
        <f t="shared" si="10"/>
        <v>591390.00000000023</v>
      </c>
      <c r="AS8" s="52">
        <f t="shared" si="8"/>
        <v>5.4267440543769668E-2</v>
      </c>
      <c r="AU8" s="45" t="s">
        <v>4</v>
      </c>
      <c r="AV8" s="46">
        <f>+'Data by size class'!N8+'Firms Agri Trade Restaurants'!C9-'Data by size class'!AX8</f>
        <v>1027365.1791363831</v>
      </c>
      <c r="AW8" s="46">
        <f>+SUM('Data by size class'!O8,'Data by size class'!Q8:S8)+'Data by size class'!AX8</f>
        <v>42494.820863616929</v>
      </c>
      <c r="AX8" s="46">
        <f t="shared" si="11"/>
        <v>1069860</v>
      </c>
      <c r="AY8" s="52">
        <f t="shared" si="12"/>
        <v>3.9719982860950902E-2</v>
      </c>
      <c r="AZ8" s="46">
        <f>+AV8-(SUM('Data by size class'!AW8,'Data by size class'!AY8,'Data by size class'!BA8)-SUM('Data by size class'!AX8,'Data by size class'!AZ8,'Data by size class'!BB8))</f>
        <v>729823</v>
      </c>
      <c r="BA8" s="46">
        <f>+AW8-SUM('Data by size class'!AX8,'Data by size class'!AZ8,'Data by size class'!BB8)</f>
        <v>29410</v>
      </c>
      <c r="BB8" s="46">
        <f>+AX8-SUM('Data by size class'!AW8,'Data by size class'!AY8,'Data by size class'!BA8)</f>
        <v>759233</v>
      </c>
      <c r="BC8" s="52">
        <f t="shared" si="13"/>
        <v>3.8736461665918105E-2</v>
      </c>
      <c r="BE8" s="54" t="s">
        <v>66</v>
      </c>
      <c r="BF8" s="43">
        <v>16.350000000000001</v>
      </c>
      <c r="BG8" s="43">
        <v>12.63</v>
      </c>
      <c r="BH8" s="43">
        <v>8.74</v>
      </c>
      <c r="BI8" s="57">
        <v>12.573333333333336</v>
      </c>
    </row>
    <row r="9" spans="1:61" x14ac:dyDescent="0.2">
      <c r="A9" s="146" t="s">
        <v>5</v>
      </c>
      <c r="B9" s="90">
        <f>+P9+'Option 1, Step 1'!Q10</f>
        <v>2538921.3724527867</v>
      </c>
      <c r="C9" s="90">
        <f>+Q9+'Option 1, Step 1'!R10</f>
        <v>2438711.998565285</v>
      </c>
      <c r="D9" s="90">
        <f>+R9+'Option 1, Step 1'!S10</f>
        <v>2234703.4347605128</v>
      </c>
      <c r="E9" s="90">
        <f>+S9+'Option 1, Step 1'!T10</f>
        <v>2515423.6148519367</v>
      </c>
      <c r="F9" s="90">
        <f>+T9+'Option 1, Step 1'!U10</f>
        <v>2702019.9643742498</v>
      </c>
      <c r="G9" s="90">
        <f>+U9+'Option 1, Step 1'!V10</f>
        <v>2887700.2995061665</v>
      </c>
      <c r="H9" s="90">
        <f>+V9+'Option 1, Step 1'!W10</f>
        <v>3069845.2562931981</v>
      </c>
      <c r="I9" s="90">
        <f>+W9+'Option 1, Step 1'!X10</f>
        <v>3062821.245242923</v>
      </c>
      <c r="J9" s="90">
        <f>+X9+'Option 1, Step 1'!Y10</f>
        <v>3055021.7181563443</v>
      </c>
      <c r="K9" s="90">
        <f>+Y9+'Option 1, Step 1'!Z10</f>
        <v>3047176.3953874363</v>
      </c>
      <c r="L9" s="90">
        <f>+Z9+'Option 1, Step 1'!AA10</f>
        <v>3040540.8045668257</v>
      </c>
      <c r="M9" s="147">
        <f>+AA9+'Option 1, Step 1'!AB10</f>
        <v>3034092.3503105091</v>
      </c>
      <c r="O9" s="45" t="s">
        <v>5</v>
      </c>
      <c r="P9" s="46">
        <f t="shared" si="9"/>
        <v>363338.71418717847</v>
      </c>
      <c r="Q9" s="46">
        <f>+P9*'Option 4, Step 1'!R9/'Option 4, Step 1'!Q9</f>
        <v>359901.86494051421</v>
      </c>
      <c r="R9" s="46">
        <f>+Q9*'Option 4, Step 1'!S9/'Option 4, Step 1'!R9</f>
        <v>356465.01569384994</v>
      </c>
      <c r="S9" s="46">
        <f>+R9*'Option 4, Step 1'!T9/'Option 4, Step 1'!S9</f>
        <v>353028.16644718568</v>
      </c>
      <c r="T9" s="46">
        <f>+S9*'Option 4, Step 1'!U9/'Option 4, Step 1'!T9</f>
        <v>349591.31720052136</v>
      </c>
      <c r="U9" s="46">
        <f>+T9*'Option 4, Step 1'!V9/'Option 4, Step 1'!U9</f>
        <v>346154.46795385709</v>
      </c>
      <c r="V9" s="46">
        <f>+U9*'Option 4, Step 1'!W9/'Option 4, Step 1'!V9</f>
        <v>342717.61870719283</v>
      </c>
      <c r="W9" s="46">
        <f>+V9*'Option 4, Step 1'!X9/'Option 4, Step 1'!W9</f>
        <v>339280.76946052857</v>
      </c>
      <c r="X9" s="46">
        <f>+W9*'Option 4, Step 1'!Y9/'Option 4, Step 1'!X9</f>
        <v>335843.9202138643</v>
      </c>
      <c r="Y9" s="46">
        <f>+X9*'Option 4, Step 1'!Z9/'Option 4, Step 1'!Y9</f>
        <v>332407.07096720004</v>
      </c>
      <c r="Z9" s="46">
        <f>+Y9*'Option 4, Step 1'!AA9/'Option 4, Step 1'!Z9</f>
        <v>328970.22172053577</v>
      </c>
      <c r="AA9" s="46">
        <f>+Z9*'Option 4, Step 1'!AB9/'Option 4, Step 1'!AA9</f>
        <v>325533.37247387151</v>
      </c>
      <c r="AC9" s="45" t="s">
        <v>5</v>
      </c>
      <c r="AD9" s="46">
        <f t="shared" si="2"/>
        <v>1457663.2858128215</v>
      </c>
      <c r="AE9" s="46">
        <f t="shared" si="3"/>
        <v>121694.34180901007</v>
      </c>
      <c r="AF9" s="46">
        <f t="shared" si="4"/>
        <v>122695.66253167632</v>
      </c>
      <c r="AG9" s="46">
        <f t="shared" si="5"/>
        <v>87703.23954862215</v>
      </c>
      <c r="AH9" s="46">
        <f t="shared" si="6"/>
        <v>31245.470297869961</v>
      </c>
      <c r="AI9" s="46">
        <f>+'Firms Agri Trade Restaurants'!S10</f>
        <v>1821002</v>
      </c>
      <c r="AJ9" s="52">
        <f t="shared" si="7"/>
        <v>0.19952680677296261</v>
      </c>
      <c r="AK9" s="53"/>
      <c r="AL9" s="45" t="s">
        <v>5</v>
      </c>
      <c r="AM9" s="46">
        <f>+'Data by size class'!AO9+SUM('Data by size class'!BP9:BR9)</f>
        <v>1457663.2858128212</v>
      </c>
      <c r="AN9" s="46">
        <f>+'Data by size class'!AP9+SUM('Data by size class'!BS9:BU9)</f>
        <v>121694.34180901006</v>
      </c>
      <c r="AO9" s="46">
        <f>+'Data by size class'!AQ9</f>
        <v>122695.66253167631</v>
      </c>
      <c r="AP9" s="46">
        <f>+'Data by size class'!AR9</f>
        <v>87703.239548622136</v>
      </c>
      <c r="AQ9" s="46">
        <f>+'Data by size class'!AS9</f>
        <v>31245.470297869957</v>
      </c>
      <c r="AR9" s="46">
        <f t="shared" si="10"/>
        <v>1821001.9999999998</v>
      </c>
      <c r="AS9" s="52">
        <f t="shared" si="8"/>
        <v>0.19952680677296264</v>
      </c>
      <c r="AU9" s="45" t="s">
        <v>5</v>
      </c>
      <c r="AV9" s="46">
        <f>+'Data by size class'!N9+'Firms Agri Trade Restaurants'!C10-'Data by size class'!AX9</f>
        <v>2390462.8287329562</v>
      </c>
      <c r="AW9" s="46">
        <f>+SUM('Data by size class'!O9,'Data by size class'!Q9:S9)+'Data by size class'!AX9</f>
        <v>486583.17126704357</v>
      </c>
      <c r="AX9" s="46">
        <f t="shared" si="11"/>
        <v>2877046</v>
      </c>
      <c r="AY9" s="52">
        <f t="shared" si="12"/>
        <v>0.1691259615824855</v>
      </c>
      <c r="AZ9" s="46">
        <f>+AV9-(SUM('Data by size class'!AW9,'Data by size class'!AY9,'Data by size class'!BA9)-SUM('Data by size class'!AX9,'Data by size class'!AZ9,'Data by size class'!BB9))</f>
        <v>1510607.9999999998</v>
      </c>
      <c r="BA9" s="46">
        <f>+AW9-SUM('Data by size class'!AX9,'Data by size class'!AZ9,'Data by size class'!BB9)</f>
        <v>273588</v>
      </c>
      <c r="BB9" s="46">
        <f>+AX9-SUM('Data by size class'!AW9,'Data by size class'!AY9,'Data by size class'!BA9)</f>
        <v>1784196</v>
      </c>
      <c r="BC9" s="52">
        <f t="shared" si="13"/>
        <v>0.15333965550869971</v>
      </c>
      <c r="BE9" s="54" t="s">
        <v>145</v>
      </c>
      <c r="BF9" s="43">
        <v>9.6199999999999992</v>
      </c>
      <c r="BG9" s="43">
        <v>7.83</v>
      </c>
      <c r="BH9" s="57">
        <v>5.5</v>
      </c>
      <c r="BI9" s="43">
        <v>7.6499999999999995</v>
      </c>
    </row>
    <row r="10" spans="1:61" x14ac:dyDescent="0.2">
      <c r="A10" s="146" t="s">
        <v>6</v>
      </c>
      <c r="B10" s="90">
        <f>+P10+'Option 1, Step 1'!Q11</f>
        <v>164771.51161986555</v>
      </c>
      <c r="C10" s="90">
        <f>+Q10+'Option 1, Step 1'!R11</f>
        <v>156322.9496310126</v>
      </c>
      <c r="D10" s="90">
        <f>+R10+'Option 1, Step 1'!S11</f>
        <v>140460.35287015917</v>
      </c>
      <c r="E10" s="90">
        <f>+S10+'Option 1, Step 1'!T11</f>
        <v>158840.63381270177</v>
      </c>
      <c r="F10" s="90">
        <f>+T10+'Option 1, Step 1'!U11</f>
        <v>171215.37922705908</v>
      </c>
      <c r="G10" s="90">
        <f>+U10+'Option 1, Step 1'!V11</f>
        <v>183890.76472678367</v>
      </c>
      <c r="H10" s="90">
        <f>+V10+'Option 1, Step 1'!W11</f>
        <v>196864.76346930198</v>
      </c>
      <c r="I10" s="90">
        <f>+W10+'Option 1, Step 1'!X11</f>
        <v>197307.58969838545</v>
      </c>
      <c r="J10" s="90">
        <f>+X10+'Option 1, Step 1'!Y11</f>
        <v>197788.77352832761</v>
      </c>
      <c r="K10" s="90">
        <f>+Y10+'Option 1, Step 1'!Z11</f>
        <v>198218.02360993272</v>
      </c>
      <c r="L10" s="90">
        <f>+Z10+'Option 1, Step 1'!AA11</f>
        <v>198647.00200091125</v>
      </c>
      <c r="M10" s="147">
        <f>+AA10+'Option 1, Step 1'!AB11</f>
        <v>199059.49667994055</v>
      </c>
      <c r="O10" s="45" t="s">
        <v>6</v>
      </c>
      <c r="P10" s="46">
        <f t="shared" si="9"/>
        <v>15238.934964379441</v>
      </c>
      <c r="Q10" s="46">
        <f>+P10*'Option 4, Step 1'!R10/'Option 4, Step 1'!Q10</f>
        <v>15304.746103860927</v>
      </c>
      <c r="R10" s="46">
        <f>+Q10*'Option 4, Step 1'!S10/'Option 4, Step 1'!R10</f>
        <v>15370.557243342413</v>
      </c>
      <c r="S10" s="46">
        <f>+R10*'Option 4, Step 1'!T10/'Option 4, Step 1'!S10</f>
        <v>15436.368382823899</v>
      </c>
      <c r="T10" s="46">
        <f>+S10*'Option 4, Step 1'!U10/'Option 4, Step 1'!T10</f>
        <v>15502.179522305385</v>
      </c>
      <c r="U10" s="46">
        <f>+T10*'Option 4, Step 1'!V10/'Option 4, Step 1'!U10</f>
        <v>15567.990661786871</v>
      </c>
      <c r="V10" s="46">
        <f>+U10*'Option 4, Step 1'!W10/'Option 4, Step 1'!V10</f>
        <v>15633.801801268357</v>
      </c>
      <c r="W10" s="46">
        <f>+V10*'Option 4, Step 1'!X10/'Option 4, Step 1'!W10</f>
        <v>15699.612940749841</v>
      </c>
      <c r="X10" s="46">
        <f>+W10*'Option 4, Step 1'!Y10/'Option 4, Step 1'!X10</f>
        <v>15765.424080231327</v>
      </c>
      <c r="Y10" s="46">
        <f>+X10*'Option 4, Step 1'!Z10/'Option 4, Step 1'!Y10</f>
        <v>15831.235219712813</v>
      </c>
      <c r="Z10" s="46">
        <f>+Y10*'Option 4, Step 1'!AA10/'Option 4, Step 1'!Z10</f>
        <v>15897.046359194297</v>
      </c>
      <c r="AA10" s="46">
        <f>+Z10*'Option 4, Step 1'!AB10/'Option 4, Step 1'!AA10</f>
        <v>15962.857498675783</v>
      </c>
      <c r="AC10" s="45" t="s">
        <v>6</v>
      </c>
      <c r="AD10" s="46">
        <f t="shared" si="2"/>
        <v>88961.065035620573</v>
      </c>
      <c r="AE10" s="46">
        <f t="shared" si="3"/>
        <v>4088.0365127617288</v>
      </c>
      <c r="AF10" s="46">
        <f t="shared" si="4"/>
        <v>5631.1954840953895</v>
      </c>
      <c r="AG10" s="46">
        <f t="shared" si="5"/>
        <v>4172.3497741989586</v>
      </c>
      <c r="AH10" s="46">
        <f t="shared" si="6"/>
        <v>1347.3531933233642</v>
      </c>
      <c r="AI10" s="46">
        <f>+'Firms Agri Trade Restaurants'!S11</f>
        <v>104200</v>
      </c>
      <c r="AJ10" s="52">
        <f t="shared" si="7"/>
        <v>0.14624697662552247</v>
      </c>
      <c r="AK10" s="53"/>
      <c r="AL10" s="45" t="s">
        <v>6</v>
      </c>
      <c r="AM10" s="46">
        <f>+'Data by size class'!AO10+SUM('Data by size class'!BP10:BR10)</f>
        <v>88961.065035620559</v>
      </c>
      <c r="AN10" s="46">
        <f>+'Data by size class'!AP10+SUM('Data by size class'!BS10:BU10)</f>
        <v>4088.0365127617283</v>
      </c>
      <c r="AO10" s="46">
        <f>+'Data by size class'!AQ10</f>
        <v>5631.1954840953886</v>
      </c>
      <c r="AP10" s="46">
        <f>+'Data by size class'!AR10</f>
        <v>4172.3497741989577</v>
      </c>
      <c r="AQ10" s="46">
        <f>+'Data by size class'!AS10</f>
        <v>1347.3531933233639</v>
      </c>
      <c r="AR10" s="46">
        <f t="shared" si="10"/>
        <v>104199.99999999999</v>
      </c>
      <c r="AS10" s="52">
        <f t="shared" si="8"/>
        <v>0.14624697662552247</v>
      </c>
      <c r="AU10" s="45" t="s">
        <v>6</v>
      </c>
      <c r="AV10" s="46">
        <f>+'Data by size class'!N10+'Firms Agri Trade Restaurants'!C11-'Data by size class'!AX10</f>
        <v>227307.41732283463</v>
      </c>
      <c r="AW10" s="46">
        <f>+SUM('Data by size class'!O10,'Data by size class'!Q10:S10)+'Data by size class'!AX10</f>
        <v>33360.582677165352</v>
      </c>
      <c r="AX10" s="46">
        <f t="shared" si="11"/>
        <v>260668</v>
      </c>
      <c r="AY10" s="52">
        <f t="shared" si="12"/>
        <v>0.12798112034145101</v>
      </c>
      <c r="AZ10" s="46">
        <f>+AV10-(SUM('Data by size class'!AW10,'Data by size class'!AY10,'Data by size class'!BA10)-SUM('Data by size class'!AX10,'Data by size class'!AZ10,'Data by size class'!BB10))</f>
        <v>154000</v>
      </c>
      <c r="BA10" s="46">
        <f>+AW10-SUM('Data by size class'!AX10,'Data by size class'!AZ10,'Data by size class'!BB10)</f>
        <v>15830.999999999996</v>
      </c>
      <c r="BB10" s="46">
        <f>+AX10-SUM('Data by size class'!AW10,'Data by size class'!AY10,'Data by size class'!BA10)</f>
        <v>169831</v>
      </c>
      <c r="BC10" s="52">
        <f t="shared" si="13"/>
        <v>9.3216197278470928E-2</v>
      </c>
      <c r="BE10" s="54" t="s">
        <v>184</v>
      </c>
      <c r="BF10" s="55">
        <v>11.02</v>
      </c>
      <c r="BG10" s="55">
        <v>8.89</v>
      </c>
      <c r="BH10" s="55">
        <v>6.06</v>
      </c>
      <c r="BI10" s="56">
        <v>8.6566666666666663</v>
      </c>
    </row>
    <row r="11" spans="1:61" x14ac:dyDescent="0.2">
      <c r="A11" s="146" t="s">
        <v>7</v>
      </c>
      <c r="B11" s="90">
        <f>+P11+'Option 1, Step 1'!Q12</f>
        <v>33775.076605460825</v>
      </c>
      <c r="C11" s="90">
        <f>+Q11+'Option 1, Step 1'!R12</f>
        <v>36915.607211902803</v>
      </c>
      <c r="D11" s="90">
        <f>+R11+'Option 1, Step 1'!S12</f>
        <v>38273.467360448398</v>
      </c>
      <c r="E11" s="90">
        <f>+S11+'Option 1, Step 1'!T12</f>
        <v>43395.426959358658</v>
      </c>
      <c r="F11" s="90">
        <f>+T11+'Option 1, Step 1'!U12</f>
        <v>46818.20996407442</v>
      </c>
      <c r="G11" s="90">
        <f>+U11+'Option 1, Step 1'!V12</f>
        <v>50248.101558689865</v>
      </c>
      <c r="H11" s="90">
        <f>+V11+'Option 1, Step 1'!W12</f>
        <v>53636.644878791281</v>
      </c>
      <c r="I11" s="90">
        <f>+W11+'Option 1, Step 1'!X12</f>
        <v>53691.443967169696</v>
      </c>
      <c r="J11" s="90">
        <f>+X11+'Option 1, Step 1'!Y12</f>
        <v>53712.674234773309</v>
      </c>
      <c r="K11" s="90">
        <f>+Y11+'Option 1, Step 1'!Z12</f>
        <v>53746.933758847219</v>
      </c>
      <c r="L11" s="90">
        <f>+Z11+'Option 1, Step 1'!AA12</f>
        <v>53813.833134214437</v>
      </c>
      <c r="M11" s="147">
        <f>+AA11+'Option 1, Step 1'!AB12</f>
        <v>53830.614142354309</v>
      </c>
      <c r="O11" s="45" t="s">
        <v>7</v>
      </c>
      <c r="P11" s="46">
        <f t="shared" si="9"/>
        <v>3855.7289923716858</v>
      </c>
      <c r="Q11" s="46">
        <f>+P11*'Option 4, Step 1'!R11/'Option 4, Step 1'!Q11</f>
        <v>3912.5123575610678</v>
      </c>
      <c r="R11" s="46">
        <f>+Q11*'Option 4, Step 1'!S11/'Option 4, Step 1'!R11</f>
        <v>3969.2957227504494</v>
      </c>
      <c r="S11" s="46">
        <f>+R11*'Option 4, Step 1'!T11/'Option 4, Step 1'!S11</f>
        <v>4026.0790879398314</v>
      </c>
      <c r="T11" s="46">
        <f>+S11*'Option 4, Step 1'!U11/'Option 4, Step 1'!T11</f>
        <v>4082.8624531292135</v>
      </c>
      <c r="U11" s="46">
        <f>+T11*'Option 4, Step 1'!V11/'Option 4, Step 1'!U11</f>
        <v>4139.645818318595</v>
      </c>
      <c r="V11" s="46">
        <f>+U11*'Option 4, Step 1'!W11/'Option 4, Step 1'!V11</f>
        <v>4196.4291835079766</v>
      </c>
      <c r="W11" s="46">
        <f>+V11*'Option 4, Step 1'!X11/'Option 4, Step 1'!W11</f>
        <v>4253.2125486973582</v>
      </c>
      <c r="X11" s="46">
        <f>+W11*'Option 4, Step 1'!Y11/'Option 4, Step 1'!X11</f>
        <v>4309.9959138867398</v>
      </c>
      <c r="Y11" s="46">
        <f>+X11*'Option 4, Step 1'!Z11/'Option 4, Step 1'!Y11</f>
        <v>4366.7792790761214</v>
      </c>
      <c r="Z11" s="46">
        <f>+Y11*'Option 4, Step 1'!AA11/'Option 4, Step 1'!Z11</f>
        <v>4423.562644265503</v>
      </c>
      <c r="AA11" s="46">
        <f>+Z11*'Option 4, Step 1'!AB11/'Option 4, Step 1'!AA11</f>
        <v>4480.3460094548846</v>
      </c>
      <c r="AC11" s="45" t="s">
        <v>7</v>
      </c>
      <c r="AD11" s="46">
        <f t="shared" si="2"/>
        <v>30944.271007628311</v>
      </c>
      <c r="AE11" s="46">
        <f t="shared" si="3"/>
        <v>1087.9777167015593</v>
      </c>
      <c r="AF11" s="46">
        <f t="shared" si="4"/>
        <v>1376.2040848124623</v>
      </c>
      <c r="AG11" s="46">
        <f t="shared" si="5"/>
        <v>1093.6663298048372</v>
      </c>
      <c r="AH11" s="46">
        <f t="shared" si="6"/>
        <v>297.88086105282719</v>
      </c>
      <c r="AI11" s="46">
        <f>+'Firms Agri Trade Restaurants'!S12</f>
        <v>34800</v>
      </c>
      <c r="AJ11" s="52">
        <f t="shared" si="7"/>
        <v>0.11079681012562316</v>
      </c>
      <c r="AK11" s="53"/>
      <c r="AL11" s="45" t="s">
        <v>7</v>
      </c>
      <c r="AM11" s="46">
        <f>+'Data by size class'!AO11+SUM('Data by size class'!BP11:BR11)</f>
        <v>30944.271007628311</v>
      </c>
      <c r="AN11" s="46">
        <f>+'Data by size class'!AP11+SUM('Data by size class'!BS11:BU11)</f>
        <v>1087.9777167015593</v>
      </c>
      <c r="AO11" s="46">
        <f>+'Data by size class'!AQ11</f>
        <v>1376.2040848124623</v>
      </c>
      <c r="AP11" s="46">
        <f>+'Data by size class'!AR11</f>
        <v>1093.6663298048372</v>
      </c>
      <c r="AQ11" s="46">
        <f>+'Data by size class'!AS11</f>
        <v>297.88086105282719</v>
      </c>
      <c r="AR11" s="46">
        <f t="shared" si="10"/>
        <v>34800</v>
      </c>
      <c r="AS11" s="52">
        <f t="shared" si="8"/>
        <v>0.11079681012562316</v>
      </c>
      <c r="AU11" s="45" t="s">
        <v>7</v>
      </c>
      <c r="AV11" s="46">
        <f>+'Data by size class'!N11+'Firms Agri Trade Restaurants'!C12-'Data by size class'!AX11</f>
        <v>87252.324159021402</v>
      </c>
      <c r="AW11" s="46">
        <f>+SUM('Data by size class'!O11,'Data by size class'!Q11:S11)+'Data by size class'!AX11</f>
        <v>6946.6758409785934</v>
      </c>
      <c r="AX11" s="46">
        <f t="shared" si="11"/>
        <v>94199</v>
      </c>
      <c r="AY11" s="52">
        <f t="shared" si="12"/>
        <v>7.374468774592717E-2</v>
      </c>
      <c r="AZ11" s="46">
        <f>+AV11-(SUM('Data by size class'!AW11,'Data by size class'!AY11,'Data by size class'!BA11)-SUM('Data by size class'!AX11,'Data by size class'!AZ11,'Data by size class'!BB11))</f>
        <v>52637.999999999993</v>
      </c>
      <c r="BA11" s="46">
        <f>+AW11-SUM('Data by size class'!AX11,'Data by size class'!AZ11,'Data by size class'!BB11)</f>
        <v>4860</v>
      </c>
      <c r="BB11" s="46">
        <f>+AX11-SUM('Data by size class'!AW11,'Data by size class'!AY11,'Data by size class'!BA11)</f>
        <v>57498</v>
      </c>
      <c r="BC11" s="52">
        <f t="shared" si="13"/>
        <v>8.4524679119273707E-2</v>
      </c>
    </row>
    <row r="12" spans="1:61" x14ac:dyDescent="0.2">
      <c r="A12" s="146" t="s">
        <v>8</v>
      </c>
      <c r="B12" s="90">
        <f>+P12+'Option 1, Step 1'!Q13</f>
        <v>2036673.9452949695</v>
      </c>
      <c r="C12" s="90">
        <f>+Q12+'Option 1, Step 1'!R13</f>
        <v>2208215.6374310767</v>
      </c>
      <c r="D12" s="90">
        <f>+R12+'Option 1, Step 1'!S13</f>
        <v>2265286.1274592485</v>
      </c>
      <c r="E12" s="90">
        <f>+S12+'Option 1, Step 1'!T13</f>
        <v>2608967.9550721212</v>
      </c>
      <c r="F12" s="90">
        <f>+T12+'Option 1, Step 1'!U13</f>
        <v>2846433.1045549051</v>
      </c>
      <c r="G12" s="90">
        <f>+U12+'Option 1, Step 1'!V13</f>
        <v>3082876.6523493538</v>
      </c>
      <c r="H12" s="90">
        <f>+V12+'Option 1, Step 1'!W13</f>
        <v>3321405.2459384701</v>
      </c>
      <c r="I12" s="90">
        <f>+W12+'Option 1, Step 1'!X13</f>
        <v>3339301.9785060375</v>
      </c>
      <c r="J12" s="90">
        <f>+X12+'Option 1, Step 1'!Y13</f>
        <v>3356187.344341537</v>
      </c>
      <c r="K12" s="90">
        <f>+Y12+'Option 1, Step 1'!Z13</f>
        <v>3369504.1498025558</v>
      </c>
      <c r="L12" s="90">
        <f>+Z12+'Option 1, Step 1'!AA13</f>
        <v>3382116.5603596256</v>
      </c>
      <c r="M12" s="147">
        <f>+AA12+'Option 1, Step 1'!AB13</f>
        <v>3396496.9403255163</v>
      </c>
      <c r="O12" s="45" t="s">
        <v>8</v>
      </c>
      <c r="P12" s="46">
        <f t="shared" si="9"/>
        <v>88917.190473262584</v>
      </c>
      <c r="Q12" s="46">
        <f>+P12*'Option 4, Step 1'!R12/'Option 4, Step 1'!Q12</f>
        <v>90213.287384222916</v>
      </c>
      <c r="R12" s="46">
        <f>+Q12*'Option 4, Step 1'!S12/'Option 4, Step 1'!R12</f>
        <v>91509.384295183263</v>
      </c>
      <c r="S12" s="46">
        <f>+R12*'Option 4, Step 1'!T12/'Option 4, Step 1'!S12</f>
        <v>92805.48120614361</v>
      </c>
      <c r="T12" s="46">
        <f>+S12*'Option 4, Step 1'!U12/'Option 4, Step 1'!T12</f>
        <v>94101.578117103942</v>
      </c>
      <c r="U12" s="46">
        <f>+T12*'Option 4, Step 1'!V12/'Option 4, Step 1'!U12</f>
        <v>95397.675028064274</v>
      </c>
      <c r="V12" s="46">
        <f>+U12*'Option 4, Step 1'!W12/'Option 4, Step 1'!V12</f>
        <v>96693.77193902462</v>
      </c>
      <c r="W12" s="46">
        <f>+V12*'Option 4, Step 1'!X12/'Option 4, Step 1'!W12</f>
        <v>97989.868849984967</v>
      </c>
      <c r="X12" s="46">
        <f>+W12*'Option 4, Step 1'!Y12/'Option 4, Step 1'!X12</f>
        <v>99285.965760945313</v>
      </c>
      <c r="Y12" s="46">
        <f>+X12*'Option 4, Step 1'!Z12/'Option 4, Step 1'!Y12</f>
        <v>100582.06267190566</v>
      </c>
      <c r="Z12" s="46">
        <f>+Y12*'Option 4, Step 1'!AA12/'Option 4, Step 1'!Z12</f>
        <v>101878.15958286602</v>
      </c>
      <c r="AA12" s="46">
        <f>+Z12*'Option 4, Step 1'!AB12/'Option 4, Step 1'!AA12</f>
        <v>103174.25649382637</v>
      </c>
      <c r="AC12" s="45" t="s">
        <v>8</v>
      </c>
      <c r="AD12" s="46">
        <f t="shared" si="2"/>
        <v>1215412.8095267371</v>
      </c>
      <c r="AE12" s="46">
        <f t="shared" si="3"/>
        <v>33392.759067959778</v>
      </c>
      <c r="AF12" s="46">
        <f t="shared" si="4"/>
        <v>31254.391665938885</v>
      </c>
      <c r="AG12" s="46">
        <f t="shared" si="5"/>
        <v>17564.495473952211</v>
      </c>
      <c r="AH12" s="46">
        <f t="shared" si="6"/>
        <v>6705.5442654117014</v>
      </c>
      <c r="AI12" s="46">
        <f>+'Firms Agri Trade Restaurants'!S13</f>
        <v>1304329.9999999998</v>
      </c>
      <c r="AJ12" s="52">
        <f t="shared" si="7"/>
        <v>6.8170777696796511E-2</v>
      </c>
      <c r="AK12" s="53"/>
      <c r="AL12" s="45" t="s">
        <v>8</v>
      </c>
      <c r="AM12" s="46">
        <f>+'Data by size class'!AO12+SUM('Data by size class'!BP12:BR12)</f>
        <v>1215412.8095267373</v>
      </c>
      <c r="AN12" s="46">
        <f>+'Data by size class'!AP12+SUM('Data by size class'!BS12:BU12)</f>
        <v>33392.759067959785</v>
      </c>
      <c r="AO12" s="46">
        <f>+'Data by size class'!AQ12</f>
        <v>31254.391665938889</v>
      </c>
      <c r="AP12" s="46">
        <f>+'Data by size class'!AR12</f>
        <v>17564.495473952215</v>
      </c>
      <c r="AQ12" s="46">
        <f>+'Data by size class'!AS12</f>
        <v>6705.5442654117032</v>
      </c>
      <c r="AR12" s="46">
        <f t="shared" si="10"/>
        <v>1304330</v>
      </c>
      <c r="AS12" s="52">
        <f t="shared" si="8"/>
        <v>6.8170777696796511E-2</v>
      </c>
      <c r="AU12" s="45" t="s">
        <v>8</v>
      </c>
      <c r="AV12" s="46">
        <f>+'Data by size class'!N12+'Firms Agri Trade Restaurants'!C13-'Data by size class'!AX12</f>
        <v>3432880.8765118974</v>
      </c>
      <c r="AW12" s="46">
        <f>+SUM('Data by size class'!O12,'Data by size class'!Q12:S12)+'Data by size class'!AX12</f>
        <v>162668.12348810237</v>
      </c>
      <c r="AX12" s="46">
        <f t="shared" si="11"/>
        <v>3595549</v>
      </c>
      <c r="AY12" s="52">
        <f t="shared" si="12"/>
        <v>4.5241525977841597E-2</v>
      </c>
      <c r="AZ12" s="46">
        <f>+AV12-(SUM('Data by size class'!AW12,'Data by size class'!AY12,'Data by size class'!BA12)-SUM('Data by size class'!AX12,'Data by size class'!AZ12,'Data by size class'!BB12))</f>
        <v>1530054.9999999998</v>
      </c>
      <c r="BA12" s="46">
        <f>+AW12-SUM('Data by size class'!AX12,'Data by size class'!AZ12,'Data by size class'!BB12)</f>
        <v>89138</v>
      </c>
      <c r="BB12" s="46">
        <f>+AX12-SUM('Data by size class'!AW12,'Data by size class'!AY12,'Data by size class'!BA12)</f>
        <v>1619193</v>
      </c>
      <c r="BC12" s="52">
        <f t="shared" si="13"/>
        <v>5.5050880284190952E-2</v>
      </c>
      <c r="BE12" s="43" t="s">
        <v>209</v>
      </c>
    </row>
    <row r="13" spans="1:61" x14ac:dyDescent="0.2">
      <c r="A13" s="146" t="s">
        <v>9</v>
      </c>
      <c r="B13" s="90">
        <f>+P13+'Option 1, Step 1'!Q14</f>
        <v>144704.41501285107</v>
      </c>
      <c r="C13" s="90">
        <f>+Q13+'Option 1, Step 1'!R14</f>
        <v>206811.51818759763</v>
      </c>
      <c r="D13" s="90">
        <f>+R13+'Option 1, Step 1'!S14</f>
        <v>258759.5796016216</v>
      </c>
      <c r="E13" s="90">
        <f>+S13+'Option 1, Step 1'!T14</f>
        <v>293799.87220470293</v>
      </c>
      <c r="F13" s="90">
        <f>+T13+'Option 1, Step 1'!U14</f>
        <v>317004.87883042591</v>
      </c>
      <c r="G13" s="90">
        <f>+U13+'Option 1, Step 1'!V14</f>
        <v>340207.62131507567</v>
      </c>
      <c r="H13" s="90">
        <f>+V13+'Option 1, Step 1'!W14</f>
        <v>363515.57886700751</v>
      </c>
      <c r="I13" s="90">
        <f>+W13+'Option 1, Step 1'!X14</f>
        <v>363305.53321216133</v>
      </c>
      <c r="J13" s="90">
        <f>+X13+'Option 1, Step 1'!Y14</f>
        <v>363206.63418413384</v>
      </c>
      <c r="K13" s="90">
        <f>+Y13+'Option 1, Step 1'!Z14</f>
        <v>363166.86701817368</v>
      </c>
      <c r="L13" s="90">
        <f>+Z13+'Option 1, Step 1'!AA14</f>
        <v>363434.21492892806</v>
      </c>
      <c r="M13" s="147">
        <f>+AA13+'Option 1, Step 1'!AB14</f>
        <v>363781.8350462651</v>
      </c>
      <c r="O13" s="45" t="s">
        <v>9</v>
      </c>
      <c r="P13" s="46">
        <f t="shared" si="9"/>
        <v>20277.858846198655</v>
      </c>
      <c r="Q13" s="46">
        <f>+P13*'Option 4, Step 1'!R13/'Option 4, Step 1'!Q13</f>
        <v>20485.892419723375</v>
      </c>
      <c r="R13" s="46">
        <f>+Q13*'Option 4, Step 1'!S13/'Option 4, Step 1'!R13</f>
        <v>20693.925993248096</v>
      </c>
      <c r="S13" s="46">
        <f>+R13*'Option 4, Step 1'!T13/'Option 4, Step 1'!S13</f>
        <v>20901.959566772817</v>
      </c>
      <c r="T13" s="46">
        <f>+S13*'Option 4, Step 1'!U13/'Option 4, Step 1'!T13</f>
        <v>21109.993140297538</v>
      </c>
      <c r="U13" s="46">
        <f>+T13*'Option 4, Step 1'!V13/'Option 4, Step 1'!U13</f>
        <v>21318.026713822259</v>
      </c>
      <c r="V13" s="46">
        <f>+U13*'Option 4, Step 1'!W13/'Option 4, Step 1'!V13</f>
        <v>21526.06028734698</v>
      </c>
      <c r="W13" s="46">
        <f>+V13*'Option 4, Step 1'!X13/'Option 4, Step 1'!W13</f>
        <v>21734.093860871701</v>
      </c>
      <c r="X13" s="46">
        <f>+W13*'Option 4, Step 1'!Y13/'Option 4, Step 1'!X13</f>
        <v>21942.127434396421</v>
      </c>
      <c r="Y13" s="46">
        <f>+X13*'Option 4, Step 1'!Z13/'Option 4, Step 1'!Y13</f>
        <v>22150.161007921142</v>
      </c>
      <c r="Z13" s="46">
        <f>+Y13*'Option 4, Step 1'!AA13/'Option 4, Step 1'!Z13</f>
        <v>22358.194581445863</v>
      </c>
      <c r="AA13" s="46">
        <f>+Z13*'Option 4, Step 1'!AB13/'Option 4, Step 1'!AA13</f>
        <v>22566.228154970584</v>
      </c>
      <c r="AC13" s="45" t="s">
        <v>9</v>
      </c>
      <c r="AD13" s="46">
        <f t="shared" si="2"/>
        <v>157612.14115380138</v>
      </c>
      <c r="AE13" s="46">
        <f t="shared" si="3"/>
        <v>6367.2325141719812</v>
      </c>
      <c r="AF13" s="46">
        <f t="shared" si="4"/>
        <v>6797.1276413991109</v>
      </c>
      <c r="AG13" s="46">
        <f t="shared" si="5"/>
        <v>5259.8058532621517</v>
      </c>
      <c r="AH13" s="46">
        <f t="shared" si="6"/>
        <v>1853.6928373654132</v>
      </c>
      <c r="AI13" s="46">
        <f>+'Firms Agri Trade Restaurants'!S14</f>
        <v>177890</v>
      </c>
      <c r="AJ13" s="52">
        <f t="shared" si="7"/>
        <v>0.11399099919162772</v>
      </c>
      <c r="AK13" s="53"/>
      <c r="AL13" s="45" t="s">
        <v>9</v>
      </c>
      <c r="AM13" s="46">
        <f>+'Data by size class'!AO13+SUM('Data by size class'!BP13:BR13)</f>
        <v>157612.14115380135</v>
      </c>
      <c r="AN13" s="46">
        <f>+'Data by size class'!AP13+SUM('Data by size class'!BS13:BU13)</f>
        <v>6367.2325141719803</v>
      </c>
      <c r="AO13" s="46">
        <f>+'Data by size class'!AQ13</f>
        <v>6797.12764139911</v>
      </c>
      <c r="AP13" s="46">
        <f>+'Data by size class'!AR13</f>
        <v>5259.8058532621508</v>
      </c>
      <c r="AQ13" s="46">
        <f>+'Data by size class'!AS13</f>
        <v>1853.6928373654127</v>
      </c>
      <c r="AR13" s="46">
        <f t="shared" si="10"/>
        <v>177889.99999999997</v>
      </c>
      <c r="AS13" s="52">
        <f t="shared" si="8"/>
        <v>0.11399099919162774</v>
      </c>
      <c r="AU13" s="45" t="s">
        <v>9</v>
      </c>
      <c r="AV13" s="46">
        <f>+'Data by size class'!N13+'Firms Agri Trade Restaurants'!C14-'Data by size class'!AX13</f>
        <v>256107.3463374144</v>
      </c>
      <c r="AW13" s="46">
        <f>+SUM('Data by size class'!O13,'Data by size class'!Q13:S13)+'Data by size class'!AX13</f>
        <v>23203.653662585599</v>
      </c>
      <c r="AX13" s="46">
        <f t="shared" si="11"/>
        <v>279311</v>
      </c>
      <c r="AY13" s="52">
        <f t="shared" si="12"/>
        <v>8.307461454287729E-2</v>
      </c>
      <c r="AZ13" s="46">
        <f>+AV13-(SUM('Data by size class'!AW13,'Data by size class'!AY13,'Data by size class'!BA13)-SUM('Data by size class'!AX13,'Data by size class'!AZ13,'Data by size class'!BB13))</f>
        <v>161865</v>
      </c>
      <c r="BA13" s="46">
        <f>+AW13-SUM('Data by size class'!AX13,'Data by size class'!AZ13,'Data by size class'!BB13)</f>
        <v>15425</v>
      </c>
      <c r="BB13" s="46">
        <f>+AX13-SUM('Data by size class'!AW13,'Data by size class'!AY13,'Data by size class'!BA13)</f>
        <v>177290</v>
      </c>
      <c r="BC13" s="52">
        <f t="shared" si="13"/>
        <v>8.7004343166563261E-2</v>
      </c>
    </row>
    <row r="14" spans="1:61" x14ac:dyDescent="0.2">
      <c r="A14" s="146" t="s">
        <v>10</v>
      </c>
      <c r="B14" s="90">
        <f>+P14+'Option 1, Step 1'!Q15</f>
        <v>1467549.0389066886</v>
      </c>
      <c r="C14" s="90">
        <f>+Q14+'Option 1, Step 1'!R15</f>
        <v>1578853.087359438</v>
      </c>
      <c r="D14" s="90">
        <f>+R14+'Option 1, Step 1'!S15</f>
        <v>1611478.3086133122</v>
      </c>
      <c r="E14" s="90">
        <f>+S14+'Option 1, Step 1'!T15</f>
        <v>1842209.8221485382</v>
      </c>
      <c r="F14" s="90">
        <f>+T14+'Option 1, Step 1'!U15</f>
        <v>1997720.6005282116</v>
      </c>
      <c r="G14" s="90">
        <f>+U14+'Option 1, Step 1'!V15</f>
        <v>2154505.2223611982</v>
      </c>
      <c r="H14" s="90">
        <f>+V14+'Option 1, Step 1'!W15</f>
        <v>2313086.0152041507</v>
      </c>
      <c r="I14" s="90">
        <f>+W14+'Option 1, Step 1'!X15</f>
        <v>2317044.8054163065</v>
      </c>
      <c r="J14" s="90">
        <f>+X14+'Option 1, Step 1'!Y15</f>
        <v>2321710.8501564069</v>
      </c>
      <c r="K14" s="90">
        <f>+Y14+'Option 1, Step 1'!Z15</f>
        <v>2326585.1414241404</v>
      </c>
      <c r="L14" s="90">
        <f>+Z14+'Option 1, Step 1'!AA15</f>
        <v>2332846.6770190718</v>
      </c>
      <c r="M14" s="147">
        <f>+AA14+'Option 1, Step 1'!AB15</f>
        <v>2339306.3096415168</v>
      </c>
      <c r="O14" s="45" t="s">
        <v>10</v>
      </c>
      <c r="P14" s="46">
        <f t="shared" si="9"/>
        <v>80692.919801343101</v>
      </c>
      <c r="Q14" s="46">
        <f>+P14*'Option 4, Step 1'!R14/'Option 4, Step 1'!Q14</f>
        <v>82358.355620784321</v>
      </c>
      <c r="R14" s="46">
        <f>+Q14*'Option 4, Step 1'!S14/'Option 4, Step 1'!R14</f>
        <v>84023.791440225541</v>
      </c>
      <c r="S14" s="46">
        <f>+R14*'Option 4, Step 1'!T14/'Option 4, Step 1'!S14</f>
        <v>85689.227259666761</v>
      </c>
      <c r="T14" s="46">
        <f>+S14*'Option 4, Step 1'!U14/'Option 4, Step 1'!T14</f>
        <v>87354.663079107966</v>
      </c>
      <c r="U14" s="46">
        <f>+T14*'Option 4, Step 1'!V14/'Option 4, Step 1'!U14</f>
        <v>89020.098898549186</v>
      </c>
      <c r="V14" s="46">
        <f>+U14*'Option 4, Step 1'!W14/'Option 4, Step 1'!V14</f>
        <v>90685.534717990406</v>
      </c>
      <c r="W14" s="46">
        <f>+V14*'Option 4, Step 1'!X14/'Option 4, Step 1'!W14</f>
        <v>92350.970537431625</v>
      </c>
      <c r="X14" s="46">
        <f>+W14*'Option 4, Step 1'!Y14/'Option 4, Step 1'!X14</f>
        <v>94016.406356872831</v>
      </c>
      <c r="Y14" s="46">
        <f>+X14*'Option 4, Step 1'!Z14/'Option 4, Step 1'!Y14</f>
        <v>95681.842176314036</v>
      </c>
      <c r="Z14" s="46">
        <f>+Y14*'Option 4, Step 1'!AA14/'Option 4, Step 1'!Z14</f>
        <v>97347.277995755256</v>
      </c>
      <c r="AA14" s="46">
        <f>+Z14*'Option 4, Step 1'!AB14/'Option 4, Step 1'!AA14</f>
        <v>99012.713815196461</v>
      </c>
      <c r="AC14" s="45" t="s">
        <v>10</v>
      </c>
      <c r="AD14" s="46">
        <f t="shared" si="2"/>
        <v>1400107.080198657</v>
      </c>
      <c r="AE14" s="46">
        <f t="shared" si="3"/>
        <v>24790.768538021555</v>
      </c>
      <c r="AF14" s="46">
        <f t="shared" si="4"/>
        <v>27732.782537880077</v>
      </c>
      <c r="AG14" s="46">
        <f t="shared" si="5"/>
        <v>19957.749654921652</v>
      </c>
      <c r="AH14" s="46">
        <f t="shared" si="6"/>
        <v>8211.6190705198205</v>
      </c>
      <c r="AI14" s="46">
        <f>+'Firms Agri Trade Restaurants'!S15</f>
        <v>1480800</v>
      </c>
      <c r="AJ14" s="52">
        <f t="shared" si="7"/>
        <v>5.4492787548178753E-2</v>
      </c>
      <c r="AK14" s="53"/>
      <c r="AL14" s="45" t="s">
        <v>10</v>
      </c>
      <c r="AM14" s="46">
        <f>+'Data by size class'!AO14+SUM('Data by size class'!BP14:BR14)</f>
        <v>1391881.167450326</v>
      </c>
      <c r="AN14" s="46">
        <f>+'Data by size class'!AP14+SUM('Data by size class'!BS14:BU14)</f>
        <v>24645.117750419726</v>
      </c>
      <c r="AO14" s="46">
        <f>+'Data by size class'!AQ14</f>
        <v>27569.846821997067</v>
      </c>
      <c r="AP14" s="46">
        <f>+'Data by size class'!AR14</f>
        <v>19840.493832394761</v>
      </c>
      <c r="AQ14" s="46">
        <f>+'Data by size class'!AS14</f>
        <v>8163.3741448623896</v>
      </c>
      <c r="AR14" s="46">
        <f t="shared" si="10"/>
        <v>1472100</v>
      </c>
      <c r="AS14" s="52">
        <f t="shared" si="8"/>
        <v>5.4492787548178753E-2</v>
      </c>
      <c r="AU14" s="45" t="s">
        <v>10</v>
      </c>
      <c r="AV14" s="46">
        <f>+'Data by size class'!N14+'Firms Agri Trade Restaurants'!C15-'Data by size class'!AX14</f>
        <v>3147983.8875586092</v>
      </c>
      <c r="AW14" s="46">
        <f>+SUM('Data by size class'!O14,'Data by size class'!Q14:S14)+'Data by size class'!AX14</f>
        <v>168914.11244139069</v>
      </c>
      <c r="AX14" s="46">
        <f t="shared" si="11"/>
        <v>3316898</v>
      </c>
      <c r="AY14" s="52">
        <f t="shared" si="12"/>
        <v>5.0925326145510263E-2</v>
      </c>
      <c r="AZ14" s="46">
        <f>+AV14-(SUM('Data by size class'!AW14,'Data by size class'!AY14,'Data by size class'!BA14)-SUM('Data by size class'!AX14,'Data by size class'!AZ14,'Data by size class'!BB14))</f>
        <v>1837132</v>
      </c>
      <c r="BA14" s="46">
        <f>+AW14-SUM('Data by size class'!AX14,'Data by size class'!AZ14,'Data by size class'!BB14)</f>
        <v>84042</v>
      </c>
      <c r="BB14" s="46">
        <f>+AX14-SUM('Data by size class'!AW14,'Data by size class'!AY14,'Data by size class'!BA14)</f>
        <v>1921174</v>
      </c>
      <c r="BC14" s="52">
        <f t="shared" si="13"/>
        <v>4.3745126677750171E-2</v>
      </c>
    </row>
    <row r="15" spans="1:61" x14ac:dyDescent="0.2">
      <c r="A15" s="146" t="s">
        <v>11</v>
      </c>
      <c r="B15" s="90">
        <f>+P15+'Option 1, Step 1'!Q16</f>
        <v>300329.70787635614</v>
      </c>
      <c r="C15" s="90">
        <f>+Q15+'Option 1, Step 1'!R16</f>
        <v>328854.80175553967</v>
      </c>
      <c r="D15" s="90">
        <f>+R15+'Option 1, Step 1'!S16</f>
        <v>340892.81297474867</v>
      </c>
      <c r="E15" s="90">
        <f>+S15+'Option 1, Step 1'!T16</f>
        <v>386901.44067445368</v>
      </c>
      <c r="F15" s="90">
        <f>+T15+'Option 1, Step 1'!U16</f>
        <v>417212.10106942779</v>
      </c>
      <c r="G15" s="90">
        <f>+U15+'Option 1, Step 1'!V16</f>
        <v>447590.84192096675</v>
      </c>
      <c r="H15" s="90">
        <f>+V15+'Option 1, Step 1'!W16</f>
        <v>477942.11821612692</v>
      </c>
      <c r="I15" s="90">
        <f>+W15+'Option 1, Step 1'!X16</f>
        <v>476764.01032928826</v>
      </c>
      <c r="J15" s="90">
        <f>+X15+'Option 1, Step 1'!Y16</f>
        <v>475639.70184634527</v>
      </c>
      <c r="K15" s="90">
        <f>+Y15+'Option 1, Step 1'!Z16</f>
        <v>474876.29026643635</v>
      </c>
      <c r="L15" s="90">
        <f>+Z15+'Option 1, Step 1'!AA16</f>
        <v>474020.41163098387</v>
      </c>
      <c r="M15" s="147">
        <f>+AA15+'Option 1, Step 1'!AB16</f>
        <v>473021.7211391966</v>
      </c>
      <c r="O15" s="45" t="s">
        <v>11</v>
      </c>
      <c r="P15" s="46">
        <f t="shared" si="9"/>
        <v>23915.002105704509</v>
      </c>
      <c r="Q15" s="46">
        <f>+P15*'Option 4, Step 1'!R15/'Option 4, Step 1'!Q15</f>
        <v>23926.344142474096</v>
      </c>
      <c r="R15" s="46">
        <f>+Q15*'Option 4, Step 1'!S15/'Option 4, Step 1'!R15</f>
        <v>23937.686179243683</v>
      </c>
      <c r="S15" s="46">
        <f>+R15*'Option 4, Step 1'!T15/'Option 4, Step 1'!S15</f>
        <v>23949.02821601327</v>
      </c>
      <c r="T15" s="46">
        <f>+S15*'Option 4, Step 1'!U15/'Option 4, Step 1'!T15</f>
        <v>23960.370252782857</v>
      </c>
      <c r="U15" s="46">
        <f>+T15*'Option 4, Step 1'!V15/'Option 4, Step 1'!U15</f>
        <v>23971.712289552444</v>
      </c>
      <c r="V15" s="46">
        <f>+U15*'Option 4, Step 1'!W15/'Option 4, Step 1'!V15</f>
        <v>23983.054326322032</v>
      </c>
      <c r="W15" s="46">
        <f>+V15*'Option 4, Step 1'!X15/'Option 4, Step 1'!W15</f>
        <v>23994.396363091619</v>
      </c>
      <c r="X15" s="46">
        <f>+W15*'Option 4, Step 1'!Y15/'Option 4, Step 1'!X15</f>
        <v>24005.738399861206</v>
      </c>
      <c r="Y15" s="46">
        <f>+X15*'Option 4, Step 1'!Z15/'Option 4, Step 1'!Y15</f>
        <v>24017.080436630793</v>
      </c>
      <c r="Z15" s="46">
        <f>+Y15*'Option 4, Step 1'!AA15/'Option 4, Step 1'!Z15</f>
        <v>24028.42247340038</v>
      </c>
      <c r="AA15" s="46">
        <f>+Z15*'Option 4, Step 1'!AB15/'Option 4, Step 1'!AA15</f>
        <v>24039.764510169971</v>
      </c>
      <c r="AC15" s="45" t="s">
        <v>11</v>
      </c>
      <c r="AD15" s="46">
        <f t="shared" si="2"/>
        <v>371433.99789429543</v>
      </c>
      <c r="AE15" s="46">
        <f t="shared" si="3"/>
        <v>10731.156302101203</v>
      </c>
      <c r="AF15" s="46">
        <f t="shared" si="4"/>
        <v>7899.6775644992604</v>
      </c>
      <c r="AG15" s="46">
        <f t="shared" si="5"/>
        <v>4188.4427453911339</v>
      </c>
      <c r="AH15" s="46">
        <f t="shared" si="6"/>
        <v>1095.7254937129117</v>
      </c>
      <c r="AI15" s="46">
        <f>+'Firms Agri Trade Restaurants'!S16</f>
        <v>395349</v>
      </c>
      <c r="AJ15" s="52">
        <f t="shared" si="7"/>
        <v>6.0490862771132616E-2</v>
      </c>
      <c r="AK15" s="53"/>
      <c r="AL15" s="45" t="s">
        <v>11</v>
      </c>
      <c r="AM15" s="46">
        <f>+'Data by size class'!AO15+SUM('Data by size class'!BP15:BR15)</f>
        <v>371433.99789429561</v>
      </c>
      <c r="AN15" s="46">
        <f>+'Data by size class'!AP15+SUM('Data by size class'!BS15:BU15)</f>
        <v>10731.156302101208</v>
      </c>
      <c r="AO15" s="46">
        <f>+'Data by size class'!AQ15</f>
        <v>7899.6775644992631</v>
      </c>
      <c r="AP15" s="46">
        <f>+'Data by size class'!AR15</f>
        <v>4188.4427453911358</v>
      </c>
      <c r="AQ15" s="46">
        <f>+'Data by size class'!AS15</f>
        <v>1095.7254937129121</v>
      </c>
      <c r="AR15" s="46">
        <f t="shared" si="10"/>
        <v>395349.00000000017</v>
      </c>
      <c r="AS15" s="52">
        <f t="shared" si="8"/>
        <v>6.0490862771132609E-2</v>
      </c>
      <c r="AU15" s="45" t="s">
        <v>11</v>
      </c>
      <c r="AV15" s="46">
        <f>+'Data by size class'!N15+'Firms Agri Trade Restaurants'!C16-'Data by size class'!AX15</f>
        <v>1356292.1815856777</v>
      </c>
      <c r="AW15" s="46">
        <f>+SUM('Data by size class'!O15,'Data by size class'!Q15:S15)+'Data by size class'!AX15</f>
        <v>37356.818414322253</v>
      </c>
      <c r="AX15" s="46">
        <f t="shared" si="11"/>
        <v>1393649</v>
      </c>
      <c r="AY15" s="52">
        <f t="shared" si="12"/>
        <v>2.6805040877812315E-2</v>
      </c>
      <c r="AZ15" s="46">
        <f>+AV15-(SUM('Data by size class'!AW15,'Data by size class'!AY15,'Data by size class'!BA15)-SUM('Data by size class'!AX15,'Data by size class'!AZ15,'Data by size class'!BB15))</f>
        <v>359533.99999999988</v>
      </c>
      <c r="BA15" s="46">
        <f>+AW15-SUM('Data by size class'!AX15,'Data by size class'!AZ15,'Data by size class'!BB15)</f>
        <v>13982.000000000004</v>
      </c>
      <c r="BB15" s="46">
        <f>+AX15-SUM('Data by size class'!AW15,'Data by size class'!AY15,'Data by size class'!BA15)</f>
        <v>373516</v>
      </c>
      <c r="BC15" s="52">
        <f t="shared" si="13"/>
        <v>3.7433470052153063E-2</v>
      </c>
    </row>
    <row r="16" spans="1:61" x14ac:dyDescent="0.2">
      <c r="A16" s="146" t="s">
        <v>26</v>
      </c>
      <c r="B16" s="90">
        <f>+P16+'Option 1, Step 1'!Q17</f>
        <v>86896.88947937917</v>
      </c>
      <c r="C16" s="90">
        <f>+Q16+'Option 1, Step 1'!R17</f>
        <v>96153.499179969222</v>
      </c>
      <c r="D16" s="90">
        <f>+R16+'Option 1, Step 1'!S17</f>
        <v>100519.92956100493</v>
      </c>
      <c r="E16" s="90">
        <f>+S16+'Option 1, Step 1'!T17</f>
        <v>114041.82254385583</v>
      </c>
      <c r="F16" s="90">
        <f>+T16+'Option 1, Step 1'!U17</f>
        <v>122724.40612043481</v>
      </c>
      <c r="G16" s="90">
        <f>+U16+'Option 1, Step 1'!V17</f>
        <v>131428.66328352335</v>
      </c>
      <c r="H16" s="90">
        <f>+V16+'Option 1, Step 1'!W17</f>
        <v>139877.11311686487</v>
      </c>
      <c r="I16" s="90">
        <f>+W16+'Option 1, Step 1'!X17</f>
        <v>138955.40175468859</v>
      </c>
      <c r="J16" s="90">
        <f>+X16+'Option 1, Step 1'!Y17</f>
        <v>138141.58849231194</v>
      </c>
      <c r="K16" s="90">
        <f>+Y16+'Option 1, Step 1'!Z17</f>
        <v>137276.71532370365</v>
      </c>
      <c r="L16" s="90">
        <f>+Z16+'Option 1, Step 1'!AA17</f>
        <v>136371.05996523239</v>
      </c>
      <c r="M16" s="147">
        <f>+AA16+'Option 1, Step 1'!AB17</f>
        <v>135408.01377320857</v>
      </c>
      <c r="O16" s="45" t="s">
        <v>26</v>
      </c>
      <c r="P16" s="46">
        <f t="shared" si="9"/>
        <v>5441.8263769680671</v>
      </c>
      <c r="Q16" s="46">
        <f>+P16*'Option 4, Step 1'!R16/'Option 4, Step 1'!Q16</f>
        <v>5412.373192969013</v>
      </c>
      <c r="R16" s="46">
        <f>+Q16*'Option 4, Step 1'!S16/'Option 4, Step 1'!R16</f>
        <v>5382.9200089699589</v>
      </c>
      <c r="S16" s="46">
        <f>+R16*'Option 4, Step 1'!T16/'Option 4, Step 1'!S16</f>
        <v>5353.4668249709048</v>
      </c>
      <c r="T16" s="46">
        <f>+S16*'Option 4, Step 1'!U16/'Option 4, Step 1'!T16</f>
        <v>5324.0136409718507</v>
      </c>
      <c r="U16" s="46">
        <f>+T16*'Option 4, Step 1'!V16/'Option 4, Step 1'!U16</f>
        <v>5294.5604569727966</v>
      </c>
      <c r="V16" s="46">
        <f>+U16*'Option 4, Step 1'!W16/'Option 4, Step 1'!V16</f>
        <v>5265.1072729737425</v>
      </c>
      <c r="W16" s="46">
        <f>+V16*'Option 4, Step 1'!X16/'Option 4, Step 1'!W16</f>
        <v>5235.6540889746884</v>
      </c>
      <c r="X16" s="46">
        <f>+W16*'Option 4, Step 1'!Y16/'Option 4, Step 1'!X16</f>
        <v>5206.2009049756343</v>
      </c>
      <c r="Y16" s="46">
        <f>+X16*'Option 4, Step 1'!Z16/'Option 4, Step 1'!Y16</f>
        <v>5176.7477209765802</v>
      </c>
      <c r="Z16" s="46">
        <f>+Y16*'Option 4, Step 1'!AA16/'Option 4, Step 1'!Z16</f>
        <v>5147.2945369775261</v>
      </c>
      <c r="AA16" s="46">
        <f>+Z16*'Option 4, Step 1'!AB16/'Option 4, Step 1'!AA16</f>
        <v>5117.8413529784721</v>
      </c>
      <c r="AC16" s="45" t="s">
        <v>26</v>
      </c>
      <c r="AD16" s="46">
        <f t="shared" si="2"/>
        <v>43058.173623031929</v>
      </c>
      <c r="AE16" s="46">
        <f t="shared" si="3"/>
        <v>1693.2522688084325</v>
      </c>
      <c r="AF16" s="46">
        <f t="shared" si="4"/>
        <v>1835.1448388844369</v>
      </c>
      <c r="AG16" s="46">
        <f t="shared" si="5"/>
        <v>1366.9563025741284</v>
      </c>
      <c r="AH16" s="46">
        <f t="shared" si="6"/>
        <v>546.47296670106925</v>
      </c>
      <c r="AI16" s="46">
        <f>+'Firms Agri Trade Restaurants'!S17</f>
        <v>48500</v>
      </c>
      <c r="AJ16" s="52">
        <f t="shared" si="7"/>
        <v>0.11220260571068179</v>
      </c>
      <c r="AK16" s="53"/>
      <c r="AL16" s="45" t="s">
        <v>26</v>
      </c>
      <c r="AM16" s="46">
        <f>+'Data by size class'!AO16+SUM('Data by size class'!BP16:BR16)</f>
        <v>43058.173623031929</v>
      </c>
      <c r="AN16" s="46">
        <f>+'Data by size class'!AP16+SUM('Data by size class'!BS16:BU16)</f>
        <v>1693.2522688084325</v>
      </c>
      <c r="AO16" s="46">
        <f>+'Data by size class'!AQ16</f>
        <v>1835.1448388844369</v>
      </c>
      <c r="AP16" s="46">
        <f>+'Data by size class'!AR16</f>
        <v>1366.9563025741284</v>
      </c>
      <c r="AQ16" s="46">
        <f>+'Data by size class'!AS16</f>
        <v>546.47296670106925</v>
      </c>
      <c r="AR16" s="46">
        <f t="shared" si="10"/>
        <v>48500</v>
      </c>
      <c r="AS16" s="52">
        <f t="shared" si="8"/>
        <v>0.11220260571068179</v>
      </c>
      <c r="AU16" s="45" t="s">
        <v>26</v>
      </c>
      <c r="AV16" s="46">
        <f>+'Data by size class'!N16+'Firms Agri Trade Restaurants'!C17-'Data by size class'!AX16</f>
        <v>273391.81298940582</v>
      </c>
      <c r="AW16" s="46">
        <f>+SUM('Data by size class'!O16,'Data by size class'!Q16:S16)+'Data by size class'!AX16</f>
        <v>14427.187010594196</v>
      </c>
      <c r="AX16" s="46">
        <f t="shared" si="11"/>
        <v>287819</v>
      </c>
      <c r="AY16" s="52">
        <f t="shared" si="12"/>
        <v>5.0125902079411699E-2</v>
      </c>
      <c r="AZ16" s="46">
        <f>+AV16-(SUM('Data by size class'!AW16,'Data by size class'!AY16,'Data by size class'!BA16)-SUM('Data by size class'!AX16,'Data by size class'!AZ16,'Data by size class'!BB16))</f>
        <v>88150.000000000029</v>
      </c>
      <c r="BA16" s="46">
        <f>+AW16-SUM('Data by size class'!AX16,'Data by size class'!AZ16,'Data by size class'!BB16)</f>
        <v>9402</v>
      </c>
      <c r="BB16" s="46">
        <f>+AX16-SUM('Data by size class'!AW16,'Data by size class'!AY16,'Data by size class'!BA16)</f>
        <v>97552</v>
      </c>
      <c r="BC16" s="52">
        <f t="shared" si="13"/>
        <v>9.6379366901754956E-2</v>
      </c>
    </row>
    <row r="17" spans="1:55" x14ac:dyDescent="0.2">
      <c r="A17" s="146" t="s">
        <v>12</v>
      </c>
      <c r="B17" s="90">
        <f>+P17+'Option 1, Step 1'!Q18</f>
        <v>274991.95986710716</v>
      </c>
      <c r="C17" s="90">
        <f>+Q17+'Option 1, Step 1'!R18</f>
        <v>363094.09355901909</v>
      </c>
      <c r="D17" s="90">
        <f>+R17+'Option 1, Step 1'!S18</f>
        <v>433244.18326789018</v>
      </c>
      <c r="E17" s="90">
        <f>+S17+'Option 1, Step 1'!T18</f>
        <v>496043.52054637077</v>
      </c>
      <c r="F17" s="90">
        <f>+T17+'Option 1, Step 1'!U18</f>
        <v>536921.87510514201</v>
      </c>
      <c r="G17" s="90">
        <f>+U17+'Option 1, Step 1'!V18</f>
        <v>577918.74454016786</v>
      </c>
      <c r="H17" s="90">
        <f>+V17+'Option 1, Step 1'!W18</f>
        <v>618943.25874110509</v>
      </c>
      <c r="I17" s="90">
        <f>+W17+'Option 1, Step 1'!X18</f>
        <v>617397.94810966658</v>
      </c>
      <c r="J17" s="90">
        <f>+X17+'Option 1, Step 1'!Y18</f>
        <v>615875.21610882739</v>
      </c>
      <c r="K17" s="90">
        <f>+Y17+'Option 1, Step 1'!Z18</f>
        <v>614545.2046884601</v>
      </c>
      <c r="L17" s="90">
        <f>+Z17+'Option 1, Step 1'!AA18</f>
        <v>611888.69082056091</v>
      </c>
      <c r="M17" s="147">
        <f>+AA17+'Option 1, Step 1'!AB18</f>
        <v>608708.15830486605</v>
      </c>
      <c r="O17" s="45" t="s">
        <v>12</v>
      </c>
      <c r="P17" s="46">
        <f t="shared" si="9"/>
        <v>13381.239177977865</v>
      </c>
      <c r="Q17" s="46">
        <f>+P17*'Option 4, Step 1'!R17/'Option 4, Step 1'!Q17</f>
        <v>13721.630050936472</v>
      </c>
      <c r="R17" s="46">
        <f>+Q17*'Option 4, Step 1'!S17/'Option 4, Step 1'!R17</f>
        <v>14062.020923895079</v>
      </c>
      <c r="S17" s="46">
        <f>+R17*'Option 4, Step 1'!T17/'Option 4, Step 1'!S17</f>
        <v>14402.411796853687</v>
      </c>
      <c r="T17" s="46">
        <f>+S17*'Option 4, Step 1'!U17/'Option 4, Step 1'!T17</f>
        <v>14742.802669812292</v>
      </c>
      <c r="U17" s="46">
        <f>+T17*'Option 4, Step 1'!V17/'Option 4, Step 1'!U17</f>
        <v>15083.1935427709</v>
      </c>
      <c r="V17" s="46">
        <f>+U17*'Option 4, Step 1'!W17/'Option 4, Step 1'!V17</f>
        <v>15423.584415729507</v>
      </c>
      <c r="W17" s="46">
        <f>+V17*'Option 4, Step 1'!X17/'Option 4, Step 1'!W17</f>
        <v>15763.975288688116</v>
      </c>
      <c r="X17" s="46">
        <f>+W17*'Option 4, Step 1'!Y17/'Option 4, Step 1'!X17</f>
        <v>16104.366161646723</v>
      </c>
      <c r="Y17" s="46">
        <f>+X17*'Option 4, Step 1'!Z17/'Option 4, Step 1'!Y17</f>
        <v>16444.757034605333</v>
      </c>
      <c r="Z17" s="46">
        <f>+Y17*'Option 4, Step 1'!AA17/'Option 4, Step 1'!Z17</f>
        <v>16785.14790756394</v>
      </c>
      <c r="AA17" s="46">
        <f>+Z17*'Option 4, Step 1'!AB17/'Option 4, Step 1'!AA17</f>
        <v>17125.538780522547</v>
      </c>
      <c r="AC17" s="45" t="s">
        <v>12</v>
      </c>
      <c r="AD17" s="46">
        <f t="shared" si="2"/>
        <v>180718.76082202213</v>
      </c>
      <c r="AE17" s="46">
        <f t="shared" si="3"/>
        <v>4217.5236923031089</v>
      </c>
      <c r="AF17" s="46">
        <f t="shared" si="4"/>
        <v>4537.4880563233937</v>
      </c>
      <c r="AG17" s="46">
        <f t="shared" si="5"/>
        <v>3387.4112405652077</v>
      </c>
      <c r="AH17" s="46">
        <f t="shared" si="6"/>
        <v>1238.8161887861556</v>
      </c>
      <c r="AI17" s="46">
        <f>+'Firms Agri Trade Restaurants'!S18</f>
        <v>194100</v>
      </c>
      <c r="AJ17" s="52">
        <f t="shared" si="7"/>
        <v>6.8939923637186318E-2</v>
      </c>
      <c r="AK17" s="53"/>
      <c r="AL17" s="45" t="s">
        <v>12</v>
      </c>
      <c r="AM17" s="46">
        <f>+'Data by size class'!AO17+SUM('Data by size class'!BP17:BR17)</f>
        <v>180718.76082202213</v>
      </c>
      <c r="AN17" s="46">
        <f>+'Data by size class'!AP17+SUM('Data by size class'!BS17:BU17)</f>
        <v>4217.5236923031089</v>
      </c>
      <c r="AO17" s="46">
        <f>+'Data by size class'!AQ17</f>
        <v>4537.4880563233937</v>
      </c>
      <c r="AP17" s="46">
        <f>+'Data by size class'!AR17</f>
        <v>3387.4112405652077</v>
      </c>
      <c r="AQ17" s="46">
        <f>+'Data by size class'!AS17</f>
        <v>1238.8161887861556</v>
      </c>
      <c r="AR17" s="46">
        <f t="shared" si="10"/>
        <v>194100</v>
      </c>
      <c r="AS17" s="52">
        <f t="shared" si="8"/>
        <v>6.8939923637186318E-2</v>
      </c>
      <c r="AU17" s="45" t="s">
        <v>12</v>
      </c>
      <c r="AV17" s="46">
        <f>+'Data by size class'!N17+'Firms Agri Trade Restaurants'!C18-'Data by size class'!AX17</f>
        <v>994932.90782807255</v>
      </c>
      <c r="AW17" s="46">
        <f>+SUM('Data by size class'!O17,'Data by size class'!Q17:S17)+'Data by size class'!AX17</f>
        <v>34614.092171927405</v>
      </c>
      <c r="AX17" s="46">
        <f t="shared" si="11"/>
        <v>1029547</v>
      </c>
      <c r="AY17" s="52">
        <f t="shared" si="12"/>
        <v>3.3620701310311626E-2</v>
      </c>
      <c r="AZ17" s="46">
        <f>+AV17-(SUM('Data by size class'!AW17,'Data by size class'!AY17,'Data by size class'!BA17)-SUM('Data by size class'!AX17,'Data by size class'!AZ17,'Data by size class'!BB17))</f>
        <v>412568</v>
      </c>
      <c r="BA17" s="46">
        <f>+AW17-SUM('Data by size class'!AX17,'Data by size class'!AZ17,'Data by size class'!BB17)</f>
        <v>22115</v>
      </c>
      <c r="BB17" s="46">
        <f>+AX17-SUM('Data by size class'!AW17,'Data by size class'!AY17,'Data by size class'!BA17)</f>
        <v>434683</v>
      </c>
      <c r="BC17" s="52">
        <f t="shared" si="13"/>
        <v>5.087615572727712E-2</v>
      </c>
    </row>
    <row r="18" spans="1:55" x14ac:dyDescent="0.2">
      <c r="A18" s="146" t="s">
        <v>13</v>
      </c>
      <c r="B18" s="90">
        <f>+P18+'Option 1, Step 1'!Q19</f>
        <v>148872.9572250217</v>
      </c>
      <c r="C18" s="90">
        <f>+Q18+'Option 1, Step 1'!R19</f>
        <v>133102.19815212372</v>
      </c>
      <c r="D18" s="90">
        <f>+R18+'Option 1, Step 1'!S19</f>
        <v>110320.03379053521</v>
      </c>
      <c r="E18" s="90">
        <f>+S18+'Option 1, Step 1'!T19</f>
        <v>126282.76203338284</v>
      </c>
      <c r="F18" s="90">
        <f>+T18+'Option 1, Step 1'!U19</f>
        <v>137747.09328758102</v>
      </c>
      <c r="G18" s="90">
        <f>+U18+'Option 1, Step 1'!V19</f>
        <v>149448.36791636414</v>
      </c>
      <c r="H18" s="90">
        <f>+V18+'Option 1, Step 1'!W19</f>
        <v>161365.22080420464</v>
      </c>
      <c r="I18" s="90">
        <f>+W18+'Option 1, Step 1'!X19</f>
        <v>163266.41512988514</v>
      </c>
      <c r="J18" s="90">
        <f>+X18+'Option 1, Step 1'!Y19</f>
        <v>165107.87701240359</v>
      </c>
      <c r="K18" s="90">
        <f>+Y18+'Option 1, Step 1'!Z19</f>
        <v>166947.17725525409</v>
      </c>
      <c r="L18" s="90">
        <f>+Z18+'Option 1, Step 1'!AA19</f>
        <v>168766.44729938655</v>
      </c>
      <c r="M18" s="147">
        <f>+AA18+'Option 1, Step 1'!AB19</f>
        <v>170565.56772609524</v>
      </c>
      <c r="O18" s="45" t="s">
        <v>13</v>
      </c>
      <c r="P18" s="46">
        <f t="shared" si="9"/>
        <v>14572.437835490995</v>
      </c>
      <c r="Q18" s="46">
        <f>+P18*'Option 4, Step 1'!R18/'Option 4, Step 1'!Q18</f>
        <v>14616.928006831033</v>
      </c>
      <c r="R18" s="46">
        <f>+Q18*'Option 4, Step 1'!S18/'Option 4, Step 1'!R18</f>
        <v>14661.418178171069</v>
      </c>
      <c r="S18" s="46">
        <f>+R18*'Option 4, Step 1'!T18/'Option 4, Step 1'!S18</f>
        <v>14705.908349511104</v>
      </c>
      <c r="T18" s="46">
        <f>+S18*'Option 4, Step 1'!U18/'Option 4, Step 1'!T18</f>
        <v>14750.398520851142</v>
      </c>
      <c r="U18" s="46">
        <f>+T18*'Option 4, Step 1'!V18/'Option 4, Step 1'!U18</f>
        <v>14794.888692191178</v>
      </c>
      <c r="V18" s="46">
        <f>+U18*'Option 4, Step 1'!W18/'Option 4, Step 1'!V18</f>
        <v>14839.378863531214</v>
      </c>
      <c r="W18" s="46">
        <f>+V18*'Option 4, Step 1'!X18/'Option 4, Step 1'!W18</f>
        <v>14883.86903487125</v>
      </c>
      <c r="X18" s="46">
        <f>+W18*'Option 4, Step 1'!Y18/'Option 4, Step 1'!X18</f>
        <v>14928.359206211286</v>
      </c>
      <c r="Y18" s="46">
        <f>+X18*'Option 4, Step 1'!Z18/'Option 4, Step 1'!Y18</f>
        <v>14972.849377551322</v>
      </c>
      <c r="Z18" s="46">
        <f>+Y18*'Option 4, Step 1'!AA18/'Option 4, Step 1'!Z18</f>
        <v>15017.339548891357</v>
      </c>
      <c r="AA18" s="46">
        <f>+Z18*'Option 4, Step 1'!AB18/'Option 4, Step 1'!AA18</f>
        <v>15061.829720231393</v>
      </c>
      <c r="AC18" s="45" t="s">
        <v>13</v>
      </c>
      <c r="AD18" s="46">
        <f t="shared" si="2"/>
        <v>128727.56216450901</v>
      </c>
      <c r="AE18" s="46">
        <f t="shared" si="3"/>
        <v>4188.5991547292624</v>
      </c>
      <c r="AF18" s="46">
        <f t="shared" si="4"/>
        <v>5165.8479719694278</v>
      </c>
      <c r="AG18" s="46">
        <f t="shared" si="5"/>
        <v>3919.6245197002272</v>
      </c>
      <c r="AH18" s="46">
        <f t="shared" si="6"/>
        <v>1298.3661890920755</v>
      </c>
      <c r="AI18" s="46">
        <f>+'Firms Agri Trade Restaurants'!S19</f>
        <v>143300</v>
      </c>
      <c r="AJ18" s="52">
        <f t="shared" si="7"/>
        <v>0.10169182020579899</v>
      </c>
      <c r="AK18" s="53"/>
      <c r="AL18" s="45" t="s">
        <v>13</v>
      </c>
      <c r="AM18" s="46">
        <f>+'Data by size class'!AO18+SUM('Data by size class'!BP18:BR18)</f>
        <v>128727.56216450904</v>
      </c>
      <c r="AN18" s="46">
        <f>+'Data by size class'!AP18+SUM('Data by size class'!BS18:BU18)</f>
        <v>4188.5991547292633</v>
      </c>
      <c r="AO18" s="46">
        <f>+'Data by size class'!AQ18</f>
        <v>5165.8479719694287</v>
      </c>
      <c r="AP18" s="46">
        <f>+'Data by size class'!AR18</f>
        <v>3919.6245197002277</v>
      </c>
      <c r="AQ18" s="46">
        <f>+'Data by size class'!AS18</f>
        <v>1298.3661890920757</v>
      </c>
      <c r="AR18" s="46">
        <f t="shared" si="10"/>
        <v>143300.00000000003</v>
      </c>
      <c r="AS18" s="52">
        <f t="shared" si="8"/>
        <v>0.10169182020579896</v>
      </c>
      <c r="AU18" s="45" t="s">
        <v>13</v>
      </c>
      <c r="AV18" s="46">
        <f>+'Data by size class'!N18+'Firms Agri Trade Restaurants'!C19-'Data by size class'!AX18</f>
        <v>375480.68147282291</v>
      </c>
      <c r="AW18" s="46">
        <f>+SUM('Data by size class'!O18,'Data by size class'!Q18:S18)+'Data by size class'!AX18</f>
        <v>25388.318527177089</v>
      </c>
      <c r="AX18" s="46">
        <f t="shared" si="11"/>
        <v>400869</v>
      </c>
      <c r="AY18" s="52">
        <f t="shared" si="12"/>
        <v>6.3333204930231798E-2</v>
      </c>
      <c r="AZ18" s="46">
        <f>+AV18-(SUM('Data by size class'!AW18,'Data by size class'!AY18,'Data by size class'!BA18)-SUM('Data by size class'!AX18,'Data by size class'!AZ18,'Data by size class'!BB18))</f>
        <v>185507</v>
      </c>
      <c r="BA18" s="46">
        <f>+AW18-SUM('Data by size class'!AX18,'Data by size class'!AZ18,'Data by size class'!BB18)</f>
        <v>10841</v>
      </c>
      <c r="BB18" s="46">
        <f>+AX18-SUM('Data by size class'!AW18,'Data by size class'!AY18,'Data by size class'!BA18)</f>
        <v>196348</v>
      </c>
      <c r="BC18" s="52">
        <f t="shared" si="13"/>
        <v>5.5213192902397783E-2</v>
      </c>
    </row>
    <row r="19" spans="1:55" x14ac:dyDescent="0.2">
      <c r="A19" s="146" t="s">
        <v>14</v>
      </c>
      <c r="B19" s="90">
        <f>+P19+'Option 1, Step 1'!Q20</f>
        <v>1818330.0636879131</v>
      </c>
      <c r="C19" s="90">
        <f>+Q19+'Option 1, Step 1'!R20</f>
        <v>2078013.149571589</v>
      </c>
      <c r="D19" s="90">
        <f>+R19+'Option 1, Step 1'!S20</f>
        <v>2238604.4085002467</v>
      </c>
      <c r="E19" s="90">
        <f>+S19+'Option 1, Step 1'!T20</f>
        <v>2545475.9322037692</v>
      </c>
      <c r="F19" s="90">
        <f>+T19+'Option 1, Step 1'!U20</f>
        <v>2752308.7712748423</v>
      </c>
      <c r="G19" s="90">
        <f>+U19+'Option 1, Step 1'!V20</f>
        <v>2960327.8188841757</v>
      </c>
      <c r="H19" s="90">
        <f>+V19+'Option 1, Step 1'!W20</f>
        <v>3171850.7908653393</v>
      </c>
      <c r="I19" s="90">
        <f>+W19+'Option 1, Step 1'!X20</f>
        <v>3175747.2914950931</v>
      </c>
      <c r="J19" s="90">
        <f>+X19+'Option 1, Step 1'!Y20</f>
        <v>3179828.4650865272</v>
      </c>
      <c r="K19" s="90">
        <f>+Y19+'Option 1, Step 1'!Z20</f>
        <v>3184661.0345512861</v>
      </c>
      <c r="L19" s="90">
        <f>+Z19+'Option 1, Step 1'!AA20</f>
        <v>3188623.7356008808</v>
      </c>
      <c r="M19" s="147">
        <f>+AA19+'Option 1, Step 1'!AB20</f>
        <v>3191593.854235447</v>
      </c>
      <c r="O19" s="45" t="s">
        <v>14</v>
      </c>
      <c r="P19" s="46">
        <f t="shared" si="9"/>
        <v>158163.66709063703</v>
      </c>
      <c r="Q19" s="46">
        <f>+P19*'Option 4, Step 1'!R19/'Option 4, Step 1'!Q19</f>
        <v>158780.2580085404</v>
      </c>
      <c r="R19" s="46">
        <f>+Q19*'Option 4, Step 1'!S19/'Option 4, Step 1'!R19</f>
        <v>159396.84892644381</v>
      </c>
      <c r="S19" s="46">
        <f>+R19*'Option 4, Step 1'!T19/'Option 4, Step 1'!S19</f>
        <v>160013.43984434719</v>
      </c>
      <c r="T19" s="46">
        <f>+S19*'Option 4, Step 1'!U19/'Option 4, Step 1'!T19</f>
        <v>160630.03076225059</v>
      </c>
      <c r="U19" s="46">
        <f>+T19*'Option 4, Step 1'!V19/'Option 4, Step 1'!U19</f>
        <v>161246.621680154</v>
      </c>
      <c r="V19" s="46">
        <f>+U19*'Option 4, Step 1'!W19/'Option 4, Step 1'!V19</f>
        <v>161863.21259805741</v>
      </c>
      <c r="W19" s="46">
        <f>+V19*'Option 4, Step 1'!X19/'Option 4, Step 1'!W19</f>
        <v>162479.80351596078</v>
      </c>
      <c r="X19" s="46">
        <f>+W19*'Option 4, Step 1'!Y19/'Option 4, Step 1'!X19</f>
        <v>163096.39443386419</v>
      </c>
      <c r="Y19" s="46">
        <f>+X19*'Option 4, Step 1'!Z19/'Option 4, Step 1'!Y19</f>
        <v>163712.98535176759</v>
      </c>
      <c r="Z19" s="46">
        <f>+Y19*'Option 4, Step 1'!AA19/'Option 4, Step 1'!Z19</f>
        <v>164329.576269671</v>
      </c>
      <c r="AA19" s="46">
        <f>+Z19*'Option 4, Step 1'!AB19/'Option 4, Step 1'!AA19</f>
        <v>164946.16718757441</v>
      </c>
      <c r="AC19" s="45" t="s">
        <v>14</v>
      </c>
      <c r="AD19" s="46">
        <f t="shared" si="2"/>
        <v>2381316.3329093633</v>
      </c>
      <c r="AE19" s="46">
        <f t="shared" si="3"/>
        <v>66226.629367316331</v>
      </c>
      <c r="AF19" s="46">
        <f t="shared" si="4"/>
        <v>46452.505945672958</v>
      </c>
      <c r="AG19" s="46">
        <f t="shared" si="5"/>
        <v>31730.041647567861</v>
      </c>
      <c r="AH19" s="46">
        <f t="shared" si="6"/>
        <v>13754.49013007989</v>
      </c>
      <c r="AI19" s="46">
        <f>+'Firms Agri Trade Restaurants'!S20</f>
        <v>2539480</v>
      </c>
      <c r="AJ19" s="52">
        <f t="shared" si="7"/>
        <v>6.2281910899332549E-2</v>
      </c>
      <c r="AK19" s="53"/>
      <c r="AL19" s="45" t="s">
        <v>14</v>
      </c>
      <c r="AM19" s="46">
        <f>+'Data by size class'!AO19+SUM('Data by size class'!BP19:BR19)</f>
        <v>2381316.3329093633</v>
      </c>
      <c r="AN19" s="46">
        <f>+'Data by size class'!AP19+SUM('Data by size class'!BS19:BU19)</f>
        <v>66226.629367316331</v>
      </c>
      <c r="AO19" s="46">
        <f>+'Data by size class'!AQ19</f>
        <v>46452.505945672958</v>
      </c>
      <c r="AP19" s="46">
        <f>+'Data by size class'!AR19</f>
        <v>31730.041647567861</v>
      </c>
      <c r="AQ19" s="46">
        <f>+'Data by size class'!AS19</f>
        <v>13754.490130079888</v>
      </c>
      <c r="AR19" s="46">
        <f t="shared" si="10"/>
        <v>2539480</v>
      </c>
      <c r="AS19" s="52">
        <f t="shared" si="8"/>
        <v>6.2281910899332549E-2</v>
      </c>
      <c r="AU19" s="45" t="s">
        <v>14</v>
      </c>
      <c r="AV19" s="46">
        <f>+'Data by size class'!N19+'Firms Agri Trade Restaurants'!C20-'Data by size class'!AX19</f>
        <v>4614563.5400710134</v>
      </c>
      <c r="AW19" s="46">
        <f>+SUM('Data by size class'!O19,'Data by size class'!Q19:S19)+'Data by size class'!AX19</f>
        <v>228270.0926310436</v>
      </c>
      <c r="AX19" s="46">
        <f t="shared" si="11"/>
        <v>4842833.6327020572</v>
      </c>
      <c r="AY19" s="52">
        <f t="shared" si="12"/>
        <v>4.7135646182353032E-2</v>
      </c>
      <c r="AZ19" s="46">
        <f>+AV19-(SUM('Data by size class'!AW19,'Data by size class'!AY19,'Data by size class'!BA19)-SUM('Data by size class'!AX19,'Data by size class'!AZ19,'Data by size class'!BB19))</f>
        <v>2146884.0000000005</v>
      </c>
      <c r="BA19" s="46">
        <f>+AW19-SUM('Data by size class'!AX19,'Data by size class'!AZ19,'Data by size class'!BB19)</f>
        <v>132360.63270205664</v>
      </c>
      <c r="BB19" s="46">
        <f>+AX19-SUM('Data by size class'!AW19,'Data by size class'!AY19,'Data by size class'!BA19)</f>
        <v>2279244.6327020572</v>
      </c>
      <c r="BC19" s="52">
        <f t="shared" si="13"/>
        <v>5.8072148466635796E-2</v>
      </c>
    </row>
    <row r="20" spans="1:55" x14ac:dyDescent="0.2">
      <c r="A20" s="146" t="s">
        <v>15</v>
      </c>
      <c r="B20" s="90">
        <f>+P20+'Option 1, Step 1'!Q21</f>
        <v>66816.283466202673</v>
      </c>
      <c r="C20" s="90">
        <f>+Q20+'Option 1, Step 1'!R21</f>
        <v>70263.523977961333</v>
      </c>
      <c r="D20" s="90">
        <f>+R20+'Option 1, Step 1'!S21</f>
        <v>70188.29872670857</v>
      </c>
      <c r="E20" s="90">
        <f>+S20+'Option 1, Step 1'!T21</f>
        <v>79661.774205009191</v>
      </c>
      <c r="F20" s="90">
        <f>+T20+'Option 1, Step 1'!U21</f>
        <v>85711.104709887586</v>
      </c>
      <c r="G20" s="90">
        <f>+U20+'Option 1, Step 1'!V21</f>
        <v>91419.223283987943</v>
      </c>
      <c r="H20" s="90">
        <f>+V20+'Option 1, Step 1'!W21</f>
        <v>96660.644861906636</v>
      </c>
      <c r="I20" s="90">
        <f>+W20+'Option 1, Step 1'!X21</f>
        <v>95743.560028933658</v>
      </c>
      <c r="J20" s="90">
        <f>+X20+'Option 1, Step 1'!Y21</f>
        <v>94887.774005698273</v>
      </c>
      <c r="K20" s="90">
        <f>+Y20+'Option 1, Step 1'!Z21</f>
        <v>94158.161743996578</v>
      </c>
      <c r="L20" s="90">
        <f>+Z20+'Option 1, Step 1'!AA21</f>
        <v>93498.111212971489</v>
      </c>
      <c r="M20" s="147">
        <f>+AA20+'Option 1, Step 1'!AB21</f>
        <v>92845.705247161837</v>
      </c>
      <c r="O20" s="45" t="s">
        <v>15</v>
      </c>
      <c r="P20" s="46">
        <f t="shared" si="9"/>
        <v>5783.1697005859824</v>
      </c>
      <c r="Q20" s="46">
        <f>+P20*'Option 4, Step 1'!R20/'Option 4, Step 1'!Q20</f>
        <v>5898.9172746515687</v>
      </c>
      <c r="R20" s="46">
        <f>+Q20*'Option 4, Step 1'!S20/'Option 4, Step 1'!R20</f>
        <v>6014.6648487171542</v>
      </c>
      <c r="S20" s="46">
        <f>+R20*'Option 4, Step 1'!T20/'Option 4, Step 1'!S20</f>
        <v>6130.4124227827415</v>
      </c>
      <c r="T20" s="46">
        <f>+S20*'Option 4, Step 1'!U20/'Option 4, Step 1'!T20</f>
        <v>6246.1599968483279</v>
      </c>
      <c r="U20" s="46">
        <f>+T20*'Option 4, Step 1'!V20/'Option 4, Step 1'!U20</f>
        <v>6361.9075709139142</v>
      </c>
      <c r="V20" s="46">
        <f>+U20*'Option 4, Step 1'!W20/'Option 4, Step 1'!V20</f>
        <v>6477.6551449794997</v>
      </c>
      <c r="W20" s="46">
        <f>+V20*'Option 4, Step 1'!X20/'Option 4, Step 1'!W20</f>
        <v>6593.4027190450852</v>
      </c>
      <c r="X20" s="46">
        <f>+W20*'Option 4, Step 1'!Y20/'Option 4, Step 1'!X20</f>
        <v>6709.1502931106725</v>
      </c>
      <c r="Y20" s="46">
        <f>+X20*'Option 4, Step 1'!Z20/'Option 4, Step 1'!Y20</f>
        <v>6824.8978671762588</v>
      </c>
      <c r="Z20" s="46">
        <f>+Y20*'Option 4, Step 1'!AA20/'Option 4, Step 1'!Z20</f>
        <v>6940.6454412418452</v>
      </c>
      <c r="AA20" s="46">
        <f>+Z20*'Option 4, Step 1'!AB20/'Option 4, Step 1'!AA20</f>
        <v>7056.3930153074316</v>
      </c>
      <c r="AC20" s="45" t="s">
        <v>15</v>
      </c>
      <c r="AD20" s="46">
        <f t="shared" si="2"/>
        <v>62916.830299414018</v>
      </c>
      <c r="AE20" s="46">
        <f t="shared" si="3"/>
        <v>1600.579768672955</v>
      </c>
      <c r="AF20" s="46">
        <f t="shared" si="4"/>
        <v>2052.5196469703578</v>
      </c>
      <c r="AG20" s="46">
        <f t="shared" si="5"/>
        <v>1647.2353030378117</v>
      </c>
      <c r="AH20" s="46">
        <f t="shared" si="6"/>
        <v>482.83498190485795</v>
      </c>
      <c r="AI20" s="46">
        <f>+'Firms Agri Trade Restaurants'!S21</f>
        <v>68700</v>
      </c>
      <c r="AJ20" s="52">
        <f t="shared" si="7"/>
        <v>8.4180053865880386E-2</v>
      </c>
      <c r="AK20" s="53"/>
      <c r="AL20" s="45" t="s">
        <v>15</v>
      </c>
      <c r="AM20" s="46">
        <f>+'Data by size class'!AO20+SUM('Data by size class'!BP20:BR20)</f>
        <v>62916.830299414032</v>
      </c>
      <c r="AN20" s="46">
        <f>+'Data by size class'!AP20+SUM('Data by size class'!BS20:BU20)</f>
        <v>1600.5797686729552</v>
      </c>
      <c r="AO20" s="46">
        <f>+'Data by size class'!AQ20</f>
        <v>2052.5196469703583</v>
      </c>
      <c r="AP20" s="46">
        <f>+'Data by size class'!AR20</f>
        <v>1647.2353030378122</v>
      </c>
      <c r="AQ20" s="46">
        <f>+'Data by size class'!AS20</f>
        <v>482.83498190485801</v>
      </c>
      <c r="AR20" s="46">
        <f t="shared" si="10"/>
        <v>68700.000000000015</v>
      </c>
      <c r="AS20" s="52">
        <f t="shared" si="8"/>
        <v>8.4180053865880386E-2</v>
      </c>
      <c r="AU20" s="45" t="s">
        <v>15</v>
      </c>
      <c r="AV20" s="46">
        <f>+'Data by size class'!N20+'Firms Agri Trade Restaurants'!C21-'Data by size class'!AX20</f>
        <v>346853.98910851148</v>
      </c>
      <c r="AW20" s="46">
        <f>+SUM('Data by size class'!O20,'Data by size class'!Q20:S20)+'Data by size class'!AX20</f>
        <v>14577.010891488504</v>
      </c>
      <c r="AX20" s="46">
        <f t="shared" si="11"/>
        <v>361431</v>
      </c>
      <c r="AY20" s="52">
        <f t="shared" si="12"/>
        <v>4.0331379686547375E-2</v>
      </c>
      <c r="AZ20" s="46">
        <f>+AV20-(SUM('Data by size class'!AW20,'Data by size class'!AY20,'Data by size class'!BA20)-SUM('Data by size class'!AX20,'Data by size class'!AZ20,'Data by size class'!BB20))</f>
        <v>136696.99999999997</v>
      </c>
      <c r="BA20" s="46">
        <f>+AW20-SUM('Data by size class'!AX20,'Data by size class'!AZ20,'Data by size class'!BB20)</f>
        <v>9336</v>
      </c>
      <c r="BB20" s="46">
        <f>+AX20-SUM('Data by size class'!AW20,'Data by size class'!AY20,'Data by size class'!BA20)</f>
        <v>146033</v>
      </c>
      <c r="BC20" s="52">
        <f t="shared" si="13"/>
        <v>6.3930755377209256E-2</v>
      </c>
    </row>
    <row r="21" spans="1:55" x14ac:dyDescent="0.2">
      <c r="A21" s="146" t="s">
        <v>16</v>
      </c>
      <c r="B21" s="90">
        <f>+P21+'Option 1, Step 1'!Q22</f>
        <v>18348.243056599749</v>
      </c>
      <c r="C21" s="90">
        <f>+Q21+'Option 1, Step 1'!R22</f>
        <v>17994.393181314095</v>
      </c>
      <c r="D21" s="90">
        <f>+R21+'Option 1, Step 1'!S22</f>
        <v>16600.577734575229</v>
      </c>
      <c r="E21" s="90">
        <f>+S21+'Option 1, Step 1'!T22</f>
        <v>19036.684690376154</v>
      </c>
      <c r="F21" s="90">
        <f>+T21+'Option 1, Step 1'!U22</f>
        <v>20796.495896442349</v>
      </c>
      <c r="G21" s="90">
        <f>+U21+'Option 1, Step 1'!V22</f>
        <v>22599.968052241173</v>
      </c>
      <c r="H21" s="90">
        <f>+V21+'Option 1, Step 1'!W22</f>
        <v>24449.791678435897</v>
      </c>
      <c r="I21" s="90">
        <f>+W21+'Option 1, Step 1'!X22</f>
        <v>24733.433901282624</v>
      </c>
      <c r="J21" s="90">
        <f>+X21+'Option 1, Step 1'!Y22</f>
        <v>25012.231021931981</v>
      </c>
      <c r="K21" s="90">
        <f>+Y21+'Option 1, Step 1'!Z22</f>
        <v>25276.123636227039</v>
      </c>
      <c r="L21" s="90">
        <f>+Z21+'Option 1, Step 1'!AA22</f>
        <v>25540.014753306332</v>
      </c>
      <c r="M21" s="147">
        <f>+AA21+'Option 1, Step 1'!AB22</f>
        <v>25792.489321363257</v>
      </c>
      <c r="O21" s="45" t="s">
        <v>16</v>
      </c>
      <c r="P21" s="46">
        <f t="shared" si="9"/>
        <v>1837.5037807074614</v>
      </c>
      <c r="Q21" s="46">
        <f>+P21*'Option 4, Step 1'!R21/'Option 4, Step 1'!Q21</f>
        <v>1878.5194900982528</v>
      </c>
      <c r="R21" s="46">
        <f>+Q21*'Option 4, Step 1'!S21/'Option 4, Step 1'!R21</f>
        <v>1919.5351994890443</v>
      </c>
      <c r="S21" s="46">
        <f>+R21*'Option 4, Step 1'!T21/'Option 4, Step 1'!S21</f>
        <v>1960.5509088798358</v>
      </c>
      <c r="T21" s="46">
        <f>+S21*'Option 4, Step 1'!U21/'Option 4, Step 1'!T21</f>
        <v>2001.5666182706275</v>
      </c>
      <c r="U21" s="46">
        <f>+T21*'Option 4, Step 1'!V21/'Option 4, Step 1'!U21</f>
        <v>2042.582327661419</v>
      </c>
      <c r="V21" s="46">
        <f>+U21*'Option 4, Step 1'!W21/'Option 4, Step 1'!V21</f>
        <v>2083.5980370522107</v>
      </c>
      <c r="W21" s="46">
        <f>+V21*'Option 4, Step 1'!X21/'Option 4, Step 1'!W21</f>
        <v>2124.6137464430021</v>
      </c>
      <c r="X21" s="46">
        <f>+W21*'Option 4, Step 1'!Y21/'Option 4, Step 1'!X21</f>
        <v>2165.6294558337936</v>
      </c>
      <c r="Y21" s="46">
        <f>+X21*'Option 4, Step 1'!Z21/'Option 4, Step 1'!Y21</f>
        <v>2206.6451652245851</v>
      </c>
      <c r="Z21" s="46">
        <f>+Y21*'Option 4, Step 1'!AA21/'Option 4, Step 1'!Z21</f>
        <v>2247.6608746153765</v>
      </c>
      <c r="AA21" s="46">
        <f>+Z21*'Option 4, Step 1'!AB21/'Option 4, Step 1'!AA21</f>
        <v>2288.676584006168</v>
      </c>
      <c r="AC21" s="45" t="s">
        <v>16</v>
      </c>
      <c r="AD21" s="46">
        <f t="shared" si="2"/>
        <v>9362.4962192925395</v>
      </c>
      <c r="AE21" s="46">
        <f t="shared" si="3"/>
        <v>495.76193456157876</v>
      </c>
      <c r="AF21" s="46">
        <f t="shared" si="4"/>
        <v>604.36055153949167</v>
      </c>
      <c r="AG21" s="46">
        <f t="shared" si="5"/>
        <v>520.82812179140149</v>
      </c>
      <c r="AH21" s="46">
        <f t="shared" si="6"/>
        <v>216.55317281498944</v>
      </c>
      <c r="AI21" s="46">
        <f>+'Firms Agri Trade Restaurants'!S22</f>
        <v>11200</v>
      </c>
      <c r="AJ21" s="52">
        <f t="shared" si="7"/>
        <v>0.1640628375631662</v>
      </c>
      <c r="AK21" s="53"/>
      <c r="AL21" s="45" t="s">
        <v>16</v>
      </c>
      <c r="AM21" s="46">
        <f>+'Data by size class'!AO21+SUM('Data by size class'!BP21:BR21)</f>
        <v>9362.4962192925377</v>
      </c>
      <c r="AN21" s="46">
        <f>+'Data by size class'!AP21+SUM('Data by size class'!BS21:BU21)</f>
        <v>495.76193456157864</v>
      </c>
      <c r="AO21" s="46">
        <f>+'Data by size class'!AQ21</f>
        <v>604.36055153949155</v>
      </c>
      <c r="AP21" s="46">
        <f>+'Data by size class'!AR21</f>
        <v>520.82812179140137</v>
      </c>
      <c r="AQ21" s="46">
        <f>+'Data by size class'!AS21</f>
        <v>216.55317281498941</v>
      </c>
      <c r="AR21" s="46">
        <f t="shared" si="10"/>
        <v>11199.999999999998</v>
      </c>
      <c r="AS21" s="52">
        <f t="shared" si="8"/>
        <v>0.16406283756316617</v>
      </c>
      <c r="AU21" s="45" t="s">
        <v>16</v>
      </c>
      <c r="AV21" s="46">
        <f>+'Data by size class'!N21+'Firms Agri Trade Restaurants'!C22-'Data by size class'!AX21</f>
        <v>31326.873015873018</v>
      </c>
      <c r="AW21" s="46">
        <f>+SUM('Data by size class'!O21,'Data by size class'!Q21:S21)+'Data by size class'!AX21</f>
        <v>4990.1269841269841</v>
      </c>
      <c r="AX21" s="46">
        <f t="shared" si="11"/>
        <v>36317</v>
      </c>
      <c r="AY21" s="52">
        <f t="shared" si="12"/>
        <v>0.13740471360869522</v>
      </c>
      <c r="AZ21" s="46">
        <f>+AV21-(SUM('Data by size class'!AW21,'Data by size class'!AY21,'Data by size class'!BA21)-SUM('Data by size class'!AX21,'Data by size class'!AZ21,'Data by size class'!BB21))</f>
        <v>21039</v>
      </c>
      <c r="BA21" s="46">
        <f>+AW21-SUM('Data by size class'!AX21,'Data by size class'!AZ21,'Data by size class'!BB21)</f>
        <v>2927</v>
      </c>
      <c r="BB21" s="46">
        <f>+AX21-SUM('Data by size class'!AW21,'Data by size class'!AY21,'Data by size class'!BA21)</f>
        <v>23966</v>
      </c>
      <c r="BC21" s="52">
        <f t="shared" si="13"/>
        <v>0.12213135274972878</v>
      </c>
    </row>
    <row r="22" spans="1:55" x14ac:dyDescent="0.2">
      <c r="A22" s="146" t="s">
        <v>17</v>
      </c>
      <c r="B22" s="90">
        <f>+P22+'Option 1, Step 1'!Q23</f>
        <v>57281.739840888702</v>
      </c>
      <c r="C22" s="90">
        <f>+Q22+'Option 1, Step 1'!R23</f>
        <v>70626.151188666234</v>
      </c>
      <c r="D22" s="90">
        <f>+R22+'Option 1, Step 1'!S23</f>
        <v>80414.468576165396</v>
      </c>
      <c r="E22" s="90">
        <f>+S22+'Option 1, Step 1'!T23</f>
        <v>91232.086932918406</v>
      </c>
      <c r="F22" s="90">
        <f>+T22+'Option 1, Step 1'!U23</f>
        <v>97858.471462397341</v>
      </c>
      <c r="G22" s="90">
        <f>+U22+'Option 1, Step 1'!V23</f>
        <v>104260.57620334423</v>
      </c>
      <c r="H22" s="90">
        <f>+V22+'Option 1, Step 1'!W23</f>
        <v>110313.2118930732</v>
      </c>
      <c r="I22" s="90">
        <f>+W22+'Option 1, Step 1'!X23</f>
        <v>109270.38102072095</v>
      </c>
      <c r="J22" s="90">
        <f>+X22+'Option 1, Step 1'!Y23</f>
        <v>108230.17233188961</v>
      </c>
      <c r="K22" s="90">
        <f>+Y22+'Option 1, Step 1'!Z23</f>
        <v>107146.79286380239</v>
      </c>
      <c r="L22" s="90">
        <f>+Z22+'Option 1, Step 1'!AA23</f>
        <v>106020.7345076427</v>
      </c>
      <c r="M22" s="147">
        <f>+AA22+'Option 1, Step 1'!AB23</f>
        <v>104868.96821642808</v>
      </c>
      <c r="O22" s="45" t="s">
        <v>17</v>
      </c>
      <c r="P22" s="46">
        <f t="shared" si="9"/>
        <v>4138.0611779921537</v>
      </c>
      <c r="Q22" s="46">
        <f>+P22*'Option 4, Step 1'!R22/'Option 4, Step 1'!Q22</f>
        <v>4191.2882182103904</v>
      </c>
      <c r="R22" s="46">
        <f>+Q22*'Option 4, Step 1'!S22/'Option 4, Step 1'!R22</f>
        <v>4244.515258428627</v>
      </c>
      <c r="S22" s="46">
        <f>+R22*'Option 4, Step 1'!T22/'Option 4, Step 1'!S22</f>
        <v>4297.7422986468637</v>
      </c>
      <c r="T22" s="46">
        <f>+S22*'Option 4, Step 1'!U22/'Option 4, Step 1'!T22</f>
        <v>4350.9693388651003</v>
      </c>
      <c r="U22" s="46">
        <f>+T22*'Option 4, Step 1'!V22/'Option 4, Step 1'!U22</f>
        <v>4404.196379083337</v>
      </c>
      <c r="V22" s="46">
        <f>+U22*'Option 4, Step 1'!W22/'Option 4, Step 1'!V22</f>
        <v>4457.4234193015745</v>
      </c>
      <c r="W22" s="46">
        <f>+V22*'Option 4, Step 1'!X22/'Option 4, Step 1'!W22</f>
        <v>4510.6504595198112</v>
      </c>
      <c r="X22" s="46">
        <f>+W22*'Option 4, Step 1'!Y22/'Option 4, Step 1'!X22</f>
        <v>4563.8774997380488</v>
      </c>
      <c r="Y22" s="46">
        <f>+X22*'Option 4, Step 1'!Z22/'Option 4, Step 1'!Y22</f>
        <v>4617.1045399562854</v>
      </c>
      <c r="Z22" s="46">
        <f>+Y22*'Option 4, Step 1'!AA22/'Option 4, Step 1'!Z22</f>
        <v>4670.3315801745221</v>
      </c>
      <c r="AA22" s="46">
        <f>+Z22*'Option 4, Step 1'!AB22/'Option 4, Step 1'!AA22</f>
        <v>4723.5586203927587</v>
      </c>
      <c r="AC22" s="45" t="s">
        <v>17</v>
      </c>
      <c r="AD22" s="46">
        <f t="shared" si="2"/>
        <v>33761.938822007854</v>
      </c>
      <c r="AE22" s="46">
        <f t="shared" si="3"/>
        <v>1233.7746678074634</v>
      </c>
      <c r="AF22" s="46">
        <f t="shared" si="4"/>
        <v>1492.1899703789977</v>
      </c>
      <c r="AG22" s="46">
        <f t="shared" si="5"/>
        <v>1128.9138025379307</v>
      </c>
      <c r="AH22" s="46">
        <f t="shared" si="6"/>
        <v>283.18273726776141</v>
      </c>
      <c r="AI22" s="46">
        <f>+'Firms Agri Trade Restaurants'!S23</f>
        <v>37900</v>
      </c>
      <c r="AJ22" s="52">
        <f t="shared" si="7"/>
        <v>0.10918367224253704</v>
      </c>
      <c r="AK22" s="53"/>
      <c r="AL22" s="45" t="s">
        <v>17</v>
      </c>
      <c r="AM22" s="46">
        <f>+'Data by size class'!AO22+SUM('Data by size class'!BP22:BR22)</f>
        <v>33761.938822007854</v>
      </c>
      <c r="AN22" s="46">
        <f>+'Data by size class'!AP22+SUM('Data by size class'!BS22:BU22)</f>
        <v>1233.7746678074634</v>
      </c>
      <c r="AO22" s="46">
        <f>+'Data by size class'!AQ22</f>
        <v>1492.1899703789977</v>
      </c>
      <c r="AP22" s="46">
        <f>+'Data by size class'!AR22</f>
        <v>1128.9138025379307</v>
      </c>
      <c r="AQ22" s="46">
        <f>+'Data by size class'!AS22</f>
        <v>283.18273726776141</v>
      </c>
      <c r="AR22" s="46">
        <f t="shared" si="10"/>
        <v>37900</v>
      </c>
      <c r="AS22" s="52">
        <f t="shared" si="8"/>
        <v>0.10918367224253704</v>
      </c>
      <c r="AU22" s="45" t="s">
        <v>17</v>
      </c>
      <c r="AV22" s="46">
        <f>+'Data by size class'!N22+'Firms Agri Trade Restaurants'!C23-'Data by size class'!AX22</f>
        <v>171908.45536609829</v>
      </c>
      <c r="AW22" s="46">
        <f>+SUM('Data by size class'!O22,'Data by size class'!Q22:S22)+'Data by size class'!AX22</f>
        <v>10749.544633901705</v>
      </c>
      <c r="AX22" s="46">
        <f t="shared" si="11"/>
        <v>182658</v>
      </c>
      <c r="AY22" s="52">
        <f t="shared" si="12"/>
        <v>5.8850664268204546E-2</v>
      </c>
      <c r="AZ22" s="46">
        <f>+AV22-(SUM('Data by size class'!AW22,'Data by size class'!AY22,'Data by size class'!BA22)-SUM('Data by size class'!AX22,'Data by size class'!AZ22,'Data by size class'!BB22))</f>
        <v>75116</v>
      </c>
      <c r="BA22" s="46">
        <f>+AW22-SUM('Data by size class'!AX22,'Data by size class'!AZ22,'Data by size class'!BB22)</f>
        <v>6652</v>
      </c>
      <c r="BB22" s="46">
        <f>+AX22-SUM('Data by size class'!AW22,'Data by size class'!AY22,'Data by size class'!BA22)</f>
        <v>81768</v>
      </c>
      <c r="BC22" s="52">
        <f t="shared" si="13"/>
        <v>8.135211818804422E-2</v>
      </c>
    </row>
    <row r="23" spans="1:55" x14ac:dyDescent="0.2">
      <c r="A23" s="146" t="s">
        <v>18</v>
      </c>
      <c r="B23" s="90">
        <f>+P23+'Option 1, Step 1'!Q24</f>
        <v>16140.843972739096</v>
      </c>
      <c r="C23" s="90">
        <f>+Q23+'Option 1, Step 1'!R24</f>
        <v>16473.927665291994</v>
      </c>
      <c r="D23" s="90">
        <f>+R23+'Option 1, Step 1'!S24</f>
        <v>16005.598068556301</v>
      </c>
      <c r="E23" s="90">
        <f>+S23+'Option 1, Step 1'!T24</f>
        <v>18435.015451521405</v>
      </c>
      <c r="F23" s="90">
        <f>+T23+'Option 1, Step 1'!U24</f>
        <v>20171.088482362971</v>
      </c>
      <c r="G23" s="90">
        <f>+U23+'Option 1, Step 1'!V24</f>
        <v>21920.186081979835</v>
      </c>
      <c r="H23" s="90">
        <f>+V23+'Option 1, Step 1'!W24</f>
        <v>23665.232401364257</v>
      </c>
      <c r="I23" s="90">
        <f>+W23+'Option 1, Step 1'!X24</f>
        <v>23903.557945746343</v>
      </c>
      <c r="J23" s="90">
        <f>+X23+'Option 1, Step 1'!Y24</f>
        <v>24159.707961730415</v>
      </c>
      <c r="K23" s="90">
        <f>+Y23+'Option 1, Step 1'!Z24</f>
        <v>24423.548523050202</v>
      </c>
      <c r="L23" s="90">
        <f>+Z23+'Option 1, Step 1'!AA24</f>
        <v>24686.518128395015</v>
      </c>
      <c r="M23" s="147">
        <f>+AA23+'Option 1, Step 1'!AB24</f>
        <v>24967.925371063051</v>
      </c>
      <c r="O23" s="45" t="s">
        <v>18</v>
      </c>
      <c r="P23" s="46">
        <f t="shared" si="9"/>
        <v>1882.0926870139431</v>
      </c>
      <c r="Q23" s="46">
        <f>+P23*'Option 4, Step 1'!R23/'Option 4, Step 1'!Q23</f>
        <v>1927.4155780827198</v>
      </c>
      <c r="R23" s="46">
        <f>+Q23*'Option 4, Step 1'!S23/'Option 4, Step 1'!R23</f>
        <v>1972.7384691514967</v>
      </c>
      <c r="S23" s="46">
        <f>+R23*'Option 4, Step 1'!T23/'Option 4, Step 1'!S23</f>
        <v>2018.0613602202734</v>
      </c>
      <c r="T23" s="46">
        <f>+S23*'Option 4, Step 1'!U23/'Option 4, Step 1'!T23</f>
        <v>2063.3842512890501</v>
      </c>
      <c r="U23" s="46">
        <f>+T23*'Option 4, Step 1'!V23/'Option 4, Step 1'!U23</f>
        <v>2108.7071423578268</v>
      </c>
      <c r="V23" s="46">
        <f>+U23*'Option 4, Step 1'!W23/'Option 4, Step 1'!V23</f>
        <v>2154.0300334266035</v>
      </c>
      <c r="W23" s="46">
        <f>+V23*'Option 4, Step 1'!X23/'Option 4, Step 1'!W23</f>
        <v>2199.3529244953802</v>
      </c>
      <c r="X23" s="46">
        <f>+W23*'Option 4, Step 1'!Y23/'Option 4, Step 1'!X23</f>
        <v>2244.6758155641569</v>
      </c>
      <c r="Y23" s="46">
        <f>+X23*'Option 4, Step 1'!Z23/'Option 4, Step 1'!Y23</f>
        <v>2289.9987066329336</v>
      </c>
      <c r="Z23" s="46">
        <f>+Y23*'Option 4, Step 1'!AA23/'Option 4, Step 1'!Z23</f>
        <v>2335.3215977017103</v>
      </c>
      <c r="AA23" s="46">
        <f>+Z23*'Option 4, Step 1'!AB23/'Option 4, Step 1'!AA23</f>
        <v>2380.644488770487</v>
      </c>
      <c r="AC23" s="45" t="s">
        <v>18</v>
      </c>
      <c r="AD23" s="46">
        <f t="shared" si="2"/>
        <v>17842.907312986055</v>
      </c>
      <c r="AE23" s="46">
        <f t="shared" si="3"/>
        <v>601.62630823110942</v>
      </c>
      <c r="AF23" s="46">
        <f t="shared" si="4"/>
        <v>608.81845013432451</v>
      </c>
      <c r="AG23" s="46">
        <f t="shared" si="5"/>
        <v>505.83353527041839</v>
      </c>
      <c r="AH23" s="46">
        <f t="shared" si="6"/>
        <v>165.81439337809076</v>
      </c>
      <c r="AI23" s="46">
        <f>+'Firms Agri Trade Restaurants'!S24</f>
        <v>19725</v>
      </c>
      <c r="AJ23" s="52">
        <f t="shared" si="7"/>
        <v>9.541661277637227E-2</v>
      </c>
      <c r="AK23" s="53"/>
      <c r="AL23" s="45" t="s">
        <v>18</v>
      </c>
      <c r="AM23" s="46">
        <f>+'Data by size class'!AO23+SUM('Data by size class'!BP23:BR23)</f>
        <v>17842.907312986059</v>
      </c>
      <c r="AN23" s="46">
        <f>+'Data by size class'!AP23+SUM('Data by size class'!BS23:BU23)</f>
        <v>601.62630823110953</v>
      </c>
      <c r="AO23" s="46">
        <f>+'Data by size class'!AQ23</f>
        <v>608.81845013432462</v>
      </c>
      <c r="AP23" s="46">
        <f>+'Data by size class'!AR23</f>
        <v>505.83353527041851</v>
      </c>
      <c r="AQ23" s="46">
        <f>+'Data by size class'!AS23</f>
        <v>165.81439337809078</v>
      </c>
      <c r="AR23" s="46">
        <f t="shared" si="10"/>
        <v>19725.000000000004</v>
      </c>
      <c r="AS23" s="52">
        <f t="shared" si="8"/>
        <v>9.541661277637227E-2</v>
      </c>
      <c r="AU23" s="45" t="s">
        <v>18</v>
      </c>
      <c r="AV23" s="46">
        <f>+'Data by size class'!N23+'Firms Agri Trade Restaurants'!C24-'Data by size class'!AX23</f>
        <v>38613.833333333336</v>
      </c>
      <c r="AW23" s="46">
        <f>+SUM('Data by size class'!O23,'Data by size class'!Q23:S23)+'Data by size class'!AX23</f>
        <v>2362.1666666666665</v>
      </c>
      <c r="AX23" s="46">
        <f t="shared" si="11"/>
        <v>40976</v>
      </c>
      <c r="AY23" s="52">
        <f t="shared" si="12"/>
        <v>5.7647566054926457E-2</v>
      </c>
      <c r="AZ23" s="46">
        <f>+AV23-(SUM('Data by size class'!AW23,'Data by size class'!AY23,'Data by size class'!BA23)-SUM('Data by size class'!AX23,'Data by size class'!AZ23,'Data by size class'!BB23))</f>
        <v>18563.000000000004</v>
      </c>
      <c r="BA23" s="46">
        <f>+AW23-SUM('Data by size class'!AX23,'Data by size class'!AZ23,'Data by size class'!BB23)</f>
        <v>1326</v>
      </c>
      <c r="BB23" s="46">
        <f>+AX23-SUM('Data by size class'!AW23,'Data by size class'!AY23,'Data by size class'!BA23)</f>
        <v>19889</v>
      </c>
      <c r="BC23" s="52">
        <f t="shared" si="13"/>
        <v>6.6670018603248032E-2</v>
      </c>
    </row>
    <row r="24" spans="1:55" x14ac:dyDescent="0.2">
      <c r="A24" s="146" t="s">
        <v>19</v>
      </c>
      <c r="B24" s="90">
        <f>+P24+'Option 1, Step 1'!Q25</f>
        <v>737770.67430088273</v>
      </c>
      <c r="C24" s="90">
        <f>+Q24+'Option 1, Step 1'!R25</f>
        <v>803390.19006971992</v>
      </c>
      <c r="D24" s="90">
        <f>+R24+'Option 1, Step 1'!S25</f>
        <v>830092.99552519433</v>
      </c>
      <c r="E24" s="90">
        <f>+S24+'Option 1, Step 1'!T25</f>
        <v>945413.83260994661</v>
      </c>
      <c r="F24" s="90">
        <f>+T24+'Option 1, Step 1'!U25</f>
        <v>1023477.8294889508</v>
      </c>
      <c r="G24" s="90">
        <f>+U24+'Option 1, Step 1'!V25</f>
        <v>1102219.3694075604</v>
      </c>
      <c r="H24" s="90">
        <f>+V24+'Option 1, Step 1'!W25</f>
        <v>1181106.0871450289</v>
      </c>
      <c r="I24" s="90">
        <f>+W24+'Option 1, Step 1'!X25</f>
        <v>1183285.2423438262</v>
      </c>
      <c r="J24" s="90">
        <f>+X24+'Option 1, Step 1'!Y25</f>
        <v>1185339.8396971468</v>
      </c>
      <c r="K24" s="90">
        <f>+Y24+'Option 1, Step 1'!Z25</f>
        <v>1187338.0460620078</v>
      </c>
      <c r="L24" s="90">
        <f>+Z24+'Option 1, Step 1'!AA25</f>
        <v>1189541.1689219116</v>
      </c>
      <c r="M24" s="147">
        <f>+AA24+'Option 1, Step 1'!AB25</f>
        <v>1191926.6113179128</v>
      </c>
      <c r="O24" s="45" t="s">
        <v>19</v>
      </c>
      <c r="P24" s="46">
        <f t="shared" si="9"/>
        <v>69571.183838396755</v>
      </c>
      <c r="Q24" s="46">
        <f>+P24*'Option 4, Step 1'!R24/'Option 4, Step 1'!Q24</f>
        <v>70603.170012618197</v>
      </c>
      <c r="R24" s="46">
        <f>+Q24*'Option 4, Step 1'!S24/'Option 4, Step 1'!R24</f>
        <v>71635.156186839624</v>
      </c>
      <c r="S24" s="46">
        <f>+R24*'Option 4, Step 1'!T24/'Option 4, Step 1'!S24</f>
        <v>72667.142361061065</v>
      </c>
      <c r="T24" s="46">
        <f>+S24*'Option 4, Step 1'!U24/'Option 4, Step 1'!T24</f>
        <v>73699.128535282507</v>
      </c>
      <c r="U24" s="46">
        <f>+T24*'Option 4, Step 1'!V24/'Option 4, Step 1'!U24</f>
        <v>74731.114709503949</v>
      </c>
      <c r="V24" s="46">
        <f>+U24*'Option 4, Step 1'!W24/'Option 4, Step 1'!V24</f>
        <v>75763.100883725376</v>
      </c>
      <c r="W24" s="46">
        <f>+V24*'Option 4, Step 1'!X24/'Option 4, Step 1'!W24</f>
        <v>76795.087057946817</v>
      </c>
      <c r="X24" s="46">
        <f>+W24*'Option 4, Step 1'!Y24/'Option 4, Step 1'!X24</f>
        <v>77827.073232168259</v>
      </c>
      <c r="Y24" s="46">
        <f>+X24*'Option 4, Step 1'!Z24/'Option 4, Step 1'!Y24</f>
        <v>78859.059406389686</v>
      </c>
      <c r="Z24" s="46">
        <f>+Y24*'Option 4, Step 1'!AA24/'Option 4, Step 1'!Z24</f>
        <v>79891.045580611128</v>
      </c>
      <c r="AA24" s="46">
        <f>+Z24*'Option 4, Step 1'!AB24/'Option 4, Step 1'!AA24</f>
        <v>80923.031754832569</v>
      </c>
      <c r="AC24" s="45" t="s">
        <v>19</v>
      </c>
      <c r="AD24" s="46">
        <f t="shared" si="2"/>
        <v>884348.81616160308</v>
      </c>
      <c r="AE24" s="46">
        <f t="shared" si="3"/>
        <v>30510.620741342467</v>
      </c>
      <c r="AF24" s="46">
        <f t="shared" si="4"/>
        <v>17952.650385361805</v>
      </c>
      <c r="AG24" s="46">
        <f t="shared" si="5"/>
        <v>15684.922784750546</v>
      </c>
      <c r="AH24" s="46">
        <f t="shared" si="6"/>
        <v>5422.9899269419284</v>
      </c>
      <c r="AI24" s="46">
        <f>+'Firms Agri Trade Restaurants'!S25</f>
        <v>953920</v>
      </c>
      <c r="AJ24" s="52">
        <f t="shared" si="7"/>
        <v>7.2931885103988542E-2</v>
      </c>
      <c r="AK24" s="53"/>
      <c r="AL24" s="45" t="s">
        <v>19</v>
      </c>
      <c r="AM24" s="46">
        <f>+'Data by size class'!AO24+SUM('Data by size class'!BP24:BR24)</f>
        <v>884348.8161616032</v>
      </c>
      <c r="AN24" s="46">
        <f>+'Data by size class'!AP24+SUM('Data by size class'!BS24:BU24)</f>
        <v>30510.620741342467</v>
      </c>
      <c r="AO24" s="46">
        <f>+'Data by size class'!AQ24</f>
        <v>17952.650385361805</v>
      </c>
      <c r="AP24" s="46">
        <f>+'Data by size class'!AR24</f>
        <v>15684.922784750546</v>
      </c>
      <c r="AQ24" s="46">
        <f>+'Data by size class'!AS24</f>
        <v>5422.9899269419284</v>
      </c>
      <c r="AR24" s="46">
        <f t="shared" si="10"/>
        <v>953920</v>
      </c>
      <c r="AS24" s="52">
        <f t="shared" si="8"/>
        <v>7.2931885103988542E-2</v>
      </c>
      <c r="AU24" s="45" t="s">
        <v>19</v>
      </c>
      <c r="AV24" s="46">
        <f>+'Data by size class'!N24+'Firms Agri Trade Restaurants'!C25-'Data by size class'!AX24</f>
        <v>1200281.6509598603</v>
      </c>
      <c r="AW24" s="46">
        <f>+SUM('Data by size class'!O24,'Data by size class'!Q24:S24)+'Data by size class'!AX24</f>
        <v>78889.349040139612</v>
      </c>
      <c r="AX24" s="46">
        <f t="shared" si="11"/>
        <v>1279171</v>
      </c>
      <c r="AY24" s="52">
        <f t="shared" si="12"/>
        <v>6.1672246353411397E-2</v>
      </c>
      <c r="AZ24" s="46">
        <f>+AV24-(SUM('Data by size class'!AW24,'Data by size class'!AY24,'Data by size class'!BA24)-SUM('Data by size class'!AX24,'Data by size class'!AZ24,'Data by size class'!BB24))</f>
        <v>872841.99999999988</v>
      </c>
      <c r="BA24" s="46">
        <f>+AW24-SUM('Data by size class'!AX24,'Data by size class'!AZ24,'Data by size class'!BB24)</f>
        <v>33481</v>
      </c>
      <c r="BB24" s="46">
        <f>+AX24-SUM('Data by size class'!AW24,'Data by size class'!AY24,'Data by size class'!BA24)</f>
        <v>906323</v>
      </c>
      <c r="BC24" s="52">
        <f t="shared" si="13"/>
        <v>3.6941576016497432E-2</v>
      </c>
    </row>
    <row r="25" spans="1:55" x14ac:dyDescent="0.2">
      <c r="A25" s="146" t="s">
        <v>20</v>
      </c>
      <c r="B25" s="90">
        <f>+P25+'Option 1, Step 1'!Q26</f>
        <v>920907.80197177327</v>
      </c>
      <c r="C25" s="90">
        <f>+Q25+'Option 1, Step 1'!R26</f>
        <v>1272860.3045331833</v>
      </c>
      <c r="D25" s="90">
        <f>+R25+'Option 1, Step 1'!S26</f>
        <v>1562392.084405968</v>
      </c>
      <c r="E25" s="90">
        <f>+S25+'Option 1, Step 1'!T26</f>
        <v>1783361.3694390804</v>
      </c>
      <c r="F25" s="90">
        <f>+T25+'Option 1, Step 1'!U26</f>
        <v>1926628.9602328532</v>
      </c>
      <c r="G25" s="90">
        <f>+U25+'Option 1, Step 1'!V26</f>
        <v>2068819.8466032466</v>
      </c>
      <c r="H25" s="90">
        <f>+V25+'Option 1, Step 1'!W26</f>
        <v>2210105.0198773355</v>
      </c>
      <c r="I25" s="90">
        <f>+W25+'Option 1, Step 1'!X26</f>
        <v>2203205.8882496636</v>
      </c>
      <c r="J25" s="90">
        <f>+X25+'Option 1, Step 1'!Y26</f>
        <v>2196129.4899900709</v>
      </c>
      <c r="K25" s="90">
        <f>+Y25+'Option 1, Step 1'!Z26</f>
        <v>2189898.747350229</v>
      </c>
      <c r="L25" s="90">
        <f>+Z25+'Option 1, Step 1'!AA26</f>
        <v>2182536.6852077967</v>
      </c>
      <c r="M25" s="147">
        <f>+AA25+'Option 1, Step 1'!AB26</f>
        <v>2174969.9595376076</v>
      </c>
      <c r="O25" s="45" t="s">
        <v>20</v>
      </c>
      <c r="P25" s="46">
        <f t="shared" si="9"/>
        <v>66529.786920774408</v>
      </c>
      <c r="Q25" s="46">
        <f>+P25*'Option 4, Step 1'!R25/'Option 4, Step 1'!Q25</f>
        <v>68120.120405634065</v>
      </c>
      <c r="R25" s="46">
        <f>+Q25*'Option 4, Step 1'!S25/'Option 4, Step 1'!R25</f>
        <v>69710.453890493722</v>
      </c>
      <c r="S25" s="46">
        <f>+R25*'Option 4, Step 1'!T25/'Option 4, Step 1'!S25</f>
        <v>71300.787375353379</v>
      </c>
      <c r="T25" s="46">
        <f>+S25*'Option 4, Step 1'!U25/'Option 4, Step 1'!T25</f>
        <v>72891.120860213035</v>
      </c>
      <c r="U25" s="46">
        <f>+T25*'Option 4, Step 1'!V25/'Option 4, Step 1'!U25</f>
        <v>74481.454345072692</v>
      </c>
      <c r="V25" s="46">
        <f>+U25*'Option 4, Step 1'!W25/'Option 4, Step 1'!V25</f>
        <v>76071.787829932335</v>
      </c>
      <c r="W25" s="46">
        <f>+V25*'Option 4, Step 1'!X25/'Option 4, Step 1'!W25</f>
        <v>77662.121314791992</v>
      </c>
      <c r="X25" s="46">
        <f>+W25*'Option 4, Step 1'!Y25/'Option 4, Step 1'!X25</f>
        <v>79252.454799651649</v>
      </c>
      <c r="Y25" s="46">
        <f>+X25*'Option 4, Step 1'!Z25/'Option 4, Step 1'!Y25</f>
        <v>80842.788284511305</v>
      </c>
      <c r="Z25" s="46">
        <f>+Y25*'Option 4, Step 1'!AA25/'Option 4, Step 1'!Z25</f>
        <v>82433.121769370962</v>
      </c>
      <c r="AA25" s="46">
        <f>+Z25*'Option 4, Step 1'!AB25/'Option 4, Step 1'!AA25</f>
        <v>84023.455254230619</v>
      </c>
      <c r="AC25" s="45" t="s">
        <v>20</v>
      </c>
      <c r="AD25" s="46">
        <f t="shared" si="2"/>
        <v>928070.21307922562</v>
      </c>
      <c r="AE25" s="46">
        <f t="shared" si="3"/>
        <v>18470.791006803174</v>
      </c>
      <c r="AF25" s="46">
        <f t="shared" si="4"/>
        <v>22977.303625901481</v>
      </c>
      <c r="AG25" s="46">
        <f t="shared" si="5"/>
        <v>18155.798493766273</v>
      </c>
      <c r="AH25" s="46">
        <f t="shared" si="6"/>
        <v>6925.8937943034898</v>
      </c>
      <c r="AI25" s="46">
        <f>+'Firms Agri Trade Restaurants'!S26</f>
        <v>994600</v>
      </c>
      <c r="AJ25" s="52">
        <f t="shared" si="7"/>
        <v>6.689099831165736E-2</v>
      </c>
      <c r="AK25" s="53"/>
      <c r="AL25" s="45" t="s">
        <v>20</v>
      </c>
      <c r="AM25" s="46">
        <f>+'Data by size class'!AO25+SUM('Data by size class'!BP25:BR25)</f>
        <v>928070.2130792255</v>
      </c>
      <c r="AN25" s="46">
        <f>+'Data by size class'!AP25+SUM('Data by size class'!BS25:BU25)</f>
        <v>18470.791006803174</v>
      </c>
      <c r="AO25" s="46">
        <f>+'Data by size class'!AQ25</f>
        <v>22977.303625901477</v>
      </c>
      <c r="AP25" s="46">
        <f>+'Data by size class'!AR25</f>
        <v>18155.79849376627</v>
      </c>
      <c r="AQ25" s="46">
        <f>+'Data by size class'!AS25</f>
        <v>6925.8937943034889</v>
      </c>
      <c r="AR25" s="46">
        <f t="shared" si="10"/>
        <v>994599.99999999988</v>
      </c>
      <c r="AS25" s="52">
        <f t="shared" si="8"/>
        <v>6.689099831165736E-2</v>
      </c>
      <c r="AU25" s="45" t="s">
        <v>20</v>
      </c>
      <c r="AV25" s="46">
        <f>+'Data by size class'!N25+'Firms Agri Trade Restaurants'!C26-'Data by size class'!AX25</f>
        <v>3261783.9426905289</v>
      </c>
      <c r="AW25" s="46">
        <f>+SUM('Data by size class'!O25,'Data by size class'!Q25:S25)+'Data by size class'!AX25</f>
        <v>109277.05730947114</v>
      </c>
      <c r="AX25" s="46">
        <f t="shared" si="11"/>
        <v>3371061</v>
      </c>
      <c r="AY25" s="52">
        <f t="shared" si="12"/>
        <v>3.2416220682292947E-2</v>
      </c>
      <c r="AZ25" s="46">
        <f>+AV25-(SUM('Data by size class'!AW25,'Data by size class'!AY25,'Data by size class'!BA25)-SUM('Data by size class'!AX25,'Data by size class'!AZ25,'Data by size class'!BB25))</f>
        <v>1277666</v>
      </c>
      <c r="BA25" s="46">
        <f>+AW25-SUM('Data by size class'!AX25,'Data by size class'!AZ25,'Data by size class'!BB25)</f>
        <v>70325</v>
      </c>
      <c r="BB25" s="46">
        <f>+AX25-SUM('Data by size class'!AW25,'Data by size class'!AY25,'Data by size class'!BA25)</f>
        <v>1347991</v>
      </c>
      <c r="BC25" s="52">
        <f t="shared" si="13"/>
        <v>5.2170229623194814E-2</v>
      </c>
    </row>
    <row r="26" spans="1:55" x14ac:dyDescent="0.2">
      <c r="A26" s="146" t="s">
        <v>21</v>
      </c>
      <c r="B26" s="90">
        <f>+P26+'Option 1, Step 1'!Q27</f>
        <v>307957.18470683036</v>
      </c>
      <c r="C26" s="90">
        <f>+Q26+'Option 1, Step 1'!R27</f>
        <v>352391.08091927622</v>
      </c>
      <c r="D26" s="90">
        <f>+R26+'Option 1, Step 1'!S27</f>
        <v>378658.3336022491</v>
      </c>
      <c r="E26" s="90">
        <f>+S26+'Option 1, Step 1'!T27</f>
        <v>432611.72297141317</v>
      </c>
      <c r="F26" s="90">
        <f>+T26+'Option 1, Step 1'!U27</f>
        <v>468598.24766672531</v>
      </c>
      <c r="G26" s="90">
        <f>+U26+'Option 1, Step 1'!V27</f>
        <v>503972.95774926146</v>
      </c>
      <c r="H26" s="90">
        <f>+V26+'Option 1, Step 1'!W27</f>
        <v>538890.3707002626</v>
      </c>
      <c r="I26" s="90">
        <f>+W26+'Option 1, Step 1'!X27</f>
        <v>537372.75586953724</v>
      </c>
      <c r="J26" s="90">
        <f>+X26+'Option 1, Step 1'!Y27</f>
        <v>535619.83182243456</v>
      </c>
      <c r="K26" s="90">
        <f>+Y26+'Option 1, Step 1'!Z27</f>
        <v>533822.25133334496</v>
      </c>
      <c r="L26" s="90">
        <f>+Z26+'Option 1, Step 1'!AA27</f>
        <v>532537.51252238639</v>
      </c>
      <c r="M26" s="147">
        <f>+AA26+'Option 1, Step 1'!AB27</f>
        <v>531189.041368203</v>
      </c>
      <c r="O26" s="45" t="s">
        <v>21</v>
      </c>
      <c r="P26" s="46">
        <f t="shared" si="9"/>
        <v>17025.612744231908</v>
      </c>
      <c r="Q26" s="46">
        <f>+P26*'Option 4, Step 1'!R26/'Option 4, Step 1'!Q26</f>
        <v>17284.089823523664</v>
      </c>
      <c r="R26" s="46">
        <f>+Q26*'Option 4, Step 1'!S26/'Option 4, Step 1'!R26</f>
        <v>17542.566902815419</v>
      </c>
      <c r="S26" s="46">
        <f>+R26*'Option 4, Step 1'!T26/'Option 4, Step 1'!S26</f>
        <v>17801.043982107174</v>
      </c>
      <c r="T26" s="46">
        <f>+S26*'Option 4, Step 1'!U26/'Option 4, Step 1'!T26</f>
        <v>18059.521061398929</v>
      </c>
      <c r="U26" s="46">
        <f>+T26*'Option 4, Step 1'!V26/'Option 4, Step 1'!U26</f>
        <v>18317.998140690685</v>
      </c>
      <c r="V26" s="46">
        <f>+U26*'Option 4, Step 1'!W26/'Option 4, Step 1'!V26</f>
        <v>18576.47521998244</v>
      </c>
      <c r="W26" s="46">
        <f>+V26*'Option 4, Step 1'!X26/'Option 4, Step 1'!W26</f>
        <v>18834.952299274195</v>
      </c>
      <c r="X26" s="46">
        <f>+W26*'Option 4, Step 1'!Y26/'Option 4, Step 1'!X26</f>
        <v>19093.429378565954</v>
      </c>
      <c r="Y26" s="46">
        <f>+X26*'Option 4, Step 1'!Z26/'Option 4, Step 1'!Y26</f>
        <v>19351.906457857709</v>
      </c>
      <c r="Z26" s="46">
        <f>+Y26*'Option 4, Step 1'!AA26/'Option 4, Step 1'!Z26</f>
        <v>19610.383537149464</v>
      </c>
      <c r="AA26" s="46">
        <f>+Z26*'Option 4, Step 1'!AB26/'Option 4, Step 1'!AA26</f>
        <v>19868.860616441219</v>
      </c>
      <c r="AC26" s="45" t="s">
        <v>21</v>
      </c>
      <c r="AD26" s="46">
        <f t="shared" si="2"/>
        <v>271974.38725576806</v>
      </c>
      <c r="AE26" s="46">
        <f t="shared" si="3"/>
        <v>5427.7990936646356</v>
      </c>
      <c r="AF26" s="46">
        <f t="shared" si="4"/>
        <v>6080.7663738563806</v>
      </c>
      <c r="AG26" s="46">
        <f t="shared" si="5"/>
        <v>4306.8316221187688</v>
      </c>
      <c r="AH26" s="46">
        <f t="shared" si="6"/>
        <v>1210.2156545921212</v>
      </c>
      <c r="AI26" s="46">
        <f>+'Firms Agri Trade Restaurants'!S27</f>
        <v>289000</v>
      </c>
      <c r="AJ26" s="52">
        <f t="shared" si="7"/>
        <v>5.8912154824331861E-2</v>
      </c>
      <c r="AK26" s="53"/>
      <c r="AL26" s="45" t="s">
        <v>21</v>
      </c>
      <c r="AM26" s="46">
        <f>+'Data by size class'!AO26+SUM('Data by size class'!BP26:BR26)</f>
        <v>271974.38725576806</v>
      </c>
      <c r="AN26" s="46">
        <f>+'Data by size class'!AP26+SUM('Data by size class'!BS26:BU26)</f>
        <v>5427.7990936646356</v>
      </c>
      <c r="AO26" s="46">
        <f>+'Data by size class'!AQ26</f>
        <v>6080.7663738563806</v>
      </c>
      <c r="AP26" s="46">
        <f>+'Data by size class'!AR26</f>
        <v>4306.8316221187688</v>
      </c>
      <c r="AQ26" s="46">
        <f>+'Data by size class'!AS26</f>
        <v>1210.2156545921212</v>
      </c>
      <c r="AR26" s="46">
        <f t="shared" si="10"/>
        <v>289000</v>
      </c>
      <c r="AS26" s="52">
        <f t="shared" si="8"/>
        <v>5.8912154824331861E-2</v>
      </c>
      <c r="AU26" s="45" t="s">
        <v>21</v>
      </c>
      <c r="AV26" s="46">
        <f>+'Data by size class'!N26+'Firms Agri Trade Restaurants'!C27-'Data by size class'!AX26</f>
        <v>1110167.7192768636</v>
      </c>
      <c r="AW26" s="46">
        <f>+SUM('Data by size class'!O26,'Data by size class'!Q26:S26)+'Data by size class'!AX26</f>
        <v>44660.280723136297</v>
      </c>
      <c r="AX26" s="46">
        <f t="shared" si="11"/>
        <v>1154828</v>
      </c>
      <c r="AY26" s="52">
        <f t="shared" si="12"/>
        <v>3.8672668763778069E-2</v>
      </c>
      <c r="AZ26" s="46">
        <f>+AV26-(SUM('Data by size class'!AW26,'Data by size class'!AY26,'Data by size class'!BA26)-SUM('Data by size class'!AX26,'Data by size class'!AZ26,'Data by size class'!BB26))</f>
        <v>537505.99999999988</v>
      </c>
      <c r="BA26" s="46">
        <f>+AW26-SUM('Data by size class'!AX26,'Data by size class'!AZ26,'Data by size class'!BB26)</f>
        <v>27320</v>
      </c>
      <c r="BB26" s="46">
        <f>+AX26-SUM('Data by size class'!AW26,'Data by size class'!AY26,'Data by size class'!BA26)</f>
        <v>564826</v>
      </c>
      <c r="BC26" s="52">
        <f t="shared" si="13"/>
        <v>4.8368878203198865E-2</v>
      </c>
    </row>
    <row r="27" spans="1:55" x14ac:dyDescent="0.2">
      <c r="A27" s="146" t="s">
        <v>22</v>
      </c>
      <c r="B27" s="90">
        <f>+P27+'Option 1, Step 1'!Q28</f>
        <v>542075.82277818525</v>
      </c>
      <c r="C27" s="90">
        <f>+Q27+'Option 1, Step 1'!R28</f>
        <v>618684.64384671359</v>
      </c>
      <c r="D27" s="90">
        <f>+R27+'Option 1, Step 1'!S28</f>
        <v>665756.25258861762</v>
      </c>
      <c r="E27" s="90">
        <f>+S27+'Option 1, Step 1'!T28</f>
        <v>753530.16781124217</v>
      </c>
      <c r="F27" s="90">
        <f>+T27+'Option 1, Step 1'!U28</f>
        <v>809801.40552554966</v>
      </c>
      <c r="G27" s="90">
        <f>+U27+'Option 1, Step 1'!V28</f>
        <v>865032.07896360406</v>
      </c>
      <c r="H27" s="90">
        <f>+V27+'Option 1, Step 1'!W28</f>
        <v>916881.47818435612</v>
      </c>
      <c r="I27" s="90">
        <f>+W27+'Option 1, Step 1'!X28</f>
        <v>909517.69153483689</v>
      </c>
      <c r="J27" s="90">
        <f>+X27+'Option 1, Step 1'!Y28</f>
        <v>902473.52657660621</v>
      </c>
      <c r="K27" s="90">
        <f>+Y27+'Option 1, Step 1'!Z28</f>
        <v>895825.76469485788</v>
      </c>
      <c r="L27" s="90">
        <f>+Z27+'Option 1, Step 1'!AA28</f>
        <v>889235.5306836688</v>
      </c>
      <c r="M27" s="147">
        <f>+AA27+'Option 1, Step 1'!AB28</f>
        <v>881292.48666280217</v>
      </c>
      <c r="O27" s="45" t="s">
        <v>22</v>
      </c>
      <c r="P27" s="46">
        <f t="shared" si="9"/>
        <v>50165.612579417269</v>
      </c>
      <c r="Q27" s="46">
        <f>+P27*'Option 4, Step 1'!R27/'Option 4, Step 1'!Q27</f>
        <v>50255.764679634507</v>
      </c>
      <c r="R27" s="46">
        <f>+Q27*'Option 4, Step 1'!S27/'Option 4, Step 1'!R27</f>
        <v>50345.916779851737</v>
      </c>
      <c r="S27" s="46">
        <f>+R27*'Option 4, Step 1'!T27/'Option 4, Step 1'!S27</f>
        <v>50436.068880068975</v>
      </c>
      <c r="T27" s="46">
        <f>+S27*'Option 4, Step 1'!U27/'Option 4, Step 1'!T27</f>
        <v>50526.220980286213</v>
      </c>
      <c r="U27" s="46">
        <f>+T27*'Option 4, Step 1'!V27/'Option 4, Step 1'!U27</f>
        <v>50616.373080503443</v>
      </c>
      <c r="V27" s="46">
        <f>+U27*'Option 4, Step 1'!W27/'Option 4, Step 1'!V27</f>
        <v>50706.525180720681</v>
      </c>
      <c r="W27" s="46">
        <f>+V27*'Option 4, Step 1'!X27/'Option 4, Step 1'!W27</f>
        <v>50796.677280937918</v>
      </c>
      <c r="X27" s="46">
        <f>+W27*'Option 4, Step 1'!Y27/'Option 4, Step 1'!X27</f>
        <v>50886.829381155148</v>
      </c>
      <c r="Y27" s="46">
        <f>+X27*'Option 4, Step 1'!Z27/'Option 4, Step 1'!Y27</f>
        <v>50976.981481372386</v>
      </c>
      <c r="Z27" s="46">
        <f>+Y27*'Option 4, Step 1'!AA27/'Option 4, Step 1'!Z27</f>
        <v>51067.133581589616</v>
      </c>
      <c r="AA27" s="46">
        <f>+Z27*'Option 4, Step 1'!AB27/'Option 4, Step 1'!AA27</f>
        <v>51157.285681806847</v>
      </c>
      <c r="AC27" s="45" t="s">
        <v>22</v>
      </c>
      <c r="AD27" s="46">
        <f t="shared" si="2"/>
        <v>805384.38742058282</v>
      </c>
      <c r="AE27" s="46">
        <f t="shared" si="3"/>
        <v>14179.678157319926</v>
      </c>
      <c r="AF27" s="46">
        <f t="shared" si="4"/>
        <v>17553.395113508064</v>
      </c>
      <c r="AG27" s="46">
        <f t="shared" si="5"/>
        <v>13487.836392714913</v>
      </c>
      <c r="AH27" s="46">
        <f t="shared" si="6"/>
        <v>4944.7029158743717</v>
      </c>
      <c r="AI27" s="46">
        <f>+'Firms Agri Trade Restaurants'!S28</f>
        <v>855550</v>
      </c>
      <c r="AJ27" s="52">
        <f t="shared" si="7"/>
        <v>5.8635512336411982E-2</v>
      </c>
      <c r="AK27" s="53"/>
      <c r="AL27" s="45" t="s">
        <v>22</v>
      </c>
      <c r="AM27" s="46">
        <f>+'Data by size class'!AO27+SUM('Data by size class'!BP27:BR27)</f>
        <v>805384.38742058282</v>
      </c>
      <c r="AN27" s="46">
        <f>+'Data by size class'!AP27+SUM('Data by size class'!BS27:BU27)</f>
        <v>14179.678157319928</v>
      </c>
      <c r="AO27" s="46">
        <f>+'Data by size class'!AQ27</f>
        <v>17553.395113508068</v>
      </c>
      <c r="AP27" s="46">
        <f>+'Data by size class'!AR27</f>
        <v>13487.836392714915</v>
      </c>
      <c r="AQ27" s="46">
        <f>+'Data by size class'!AS27</f>
        <v>4944.7029158743726</v>
      </c>
      <c r="AR27" s="46">
        <f t="shared" si="10"/>
        <v>855550.00000000012</v>
      </c>
      <c r="AS27" s="52">
        <f t="shared" si="8"/>
        <v>5.8635512336411996E-2</v>
      </c>
      <c r="AU27" s="45" t="s">
        <v>22</v>
      </c>
      <c r="AV27" s="46">
        <f>+'Data by size class'!N27+'Firms Agri Trade Restaurants'!C28-'Data by size class'!AX27</f>
        <v>3870421.5405853479</v>
      </c>
      <c r="AW27" s="46">
        <f>+SUM('Data by size class'!O27,'Data by size class'!Q27:S27)+'Data by size class'!AX27</f>
        <v>53582.459414652243</v>
      </c>
      <c r="AX27" s="46">
        <f t="shared" si="11"/>
        <v>3924004</v>
      </c>
      <c r="AY27" s="52">
        <f t="shared" si="12"/>
        <v>1.3655047093390384E-2</v>
      </c>
      <c r="AZ27" s="46">
        <f>+AV27-(SUM('Data by size class'!AW27,'Data by size class'!AY27,'Data by size class'!BA27)-SUM('Data by size class'!AX27,'Data by size class'!AZ27,'Data by size class'!BB27))</f>
        <v>267488</v>
      </c>
      <c r="BA27" s="46">
        <f>+AW27-SUM('Data by size class'!AX27,'Data by size class'!AZ27,'Data by size class'!BB27)</f>
        <v>34620</v>
      </c>
      <c r="BB27" s="46">
        <f>+AX27-SUM('Data by size class'!AW27,'Data by size class'!AY27,'Data by size class'!BA27)</f>
        <v>302108</v>
      </c>
      <c r="BC27" s="52">
        <f t="shared" si="13"/>
        <v>0.11459478067446079</v>
      </c>
    </row>
    <row r="28" spans="1:55" x14ac:dyDescent="0.2">
      <c r="A28" s="146" t="s">
        <v>23</v>
      </c>
      <c r="B28" s="90">
        <f>+P28+'Option 1, Step 1'!Q29</f>
        <v>299880.07028905209</v>
      </c>
      <c r="C28" s="90">
        <f>+Q28+'Option 1, Step 1'!R29</f>
        <v>386184.26369351923</v>
      </c>
      <c r="D28" s="90">
        <f>+R28+'Option 1, Step 1'!S29</f>
        <v>454296.97275551903</v>
      </c>
      <c r="E28" s="90">
        <f>+S28+'Option 1, Step 1'!T29</f>
        <v>521949.79449744313</v>
      </c>
      <c r="F28" s="90">
        <f>+T28+'Option 1, Step 1'!U29</f>
        <v>568914.29270981508</v>
      </c>
      <c r="G28" s="90">
        <f>+U28+'Option 1, Step 1'!V29</f>
        <v>616742.80887995532</v>
      </c>
      <c r="H28" s="90">
        <f>+V28+'Option 1, Step 1'!W29</f>
        <v>665692.19196664263</v>
      </c>
      <c r="I28" s="90">
        <f>+W28+'Option 1, Step 1'!X29</f>
        <v>670488.49954051967</v>
      </c>
      <c r="J28" s="90">
        <f>+X28+'Option 1, Step 1'!Y29</f>
        <v>675507.05624872749</v>
      </c>
      <c r="K28" s="90">
        <f>+Y28+'Option 1, Step 1'!Z29</f>
        <v>680839.86330202129</v>
      </c>
      <c r="L28" s="90">
        <f>+Z28+'Option 1, Step 1'!AA29</f>
        <v>686516.18238915235</v>
      </c>
      <c r="M28" s="147">
        <f>+AA28+'Option 1, Step 1'!AB29</f>
        <v>692467.88746658759</v>
      </c>
      <c r="O28" s="45" t="s">
        <v>23</v>
      </c>
      <c r="P28" s="46">
        <f t="shared" si="9"/>
        <v>18641.727201271657</v>
      </c>
      <c r="Q28" s="46">
        <f>+P28*'Option 4, Step 1'!R28/'Option 4, Step 1'!Q28</f>
        <v>18746.467213907225</v>
      </c>
      <c r="R28" s="46">
        <f>+Q28*'Option 4, Step 1'!S28/'Option 4, Step 1'!R28</f>
        <v>18851.207226542796</v>
      </c>
      <c r="S28" s="46">
        <f>+R28*'Option 4, Step 1'!T28/'Option 4, Step 1'!S28</f>
        <v>18955.947239178364</v>
      </c>
      <c r="T28" s="46">
        <f>+S28*'Option 4, Step 1'!U28/'Option 4, Step 1'!T28</f>
        <v>19060.687251813932</v>
      </c>
      <c r="U28" s="46">
        <f>+T28*'Option 4, Step 1'!V28/'Option 4, Step 1'!U28</f>
        <v>19165.427264449503</v>
      </c>
      <c r="V28" s="46">
        <f>+U28*'Option 4, Step 1'!W28/'Option 4, Step 1'!V28</f>
        <v>19270.167277085071</v>
      </c>
      <c r="W28" s="46">
        <f>+V28*'Option 4, Step 1'!X28/'Option 4, Step 1'!W28</f>
        <v>19374.907289720639</v>
      </c>
      <c r="X28" s="46">
        <f>+W28*'Option 4, Step 1'!Y28/'Option 4, Step 1'!X28</f>
        <v>19479.647302356207</v>
      </c>
      <c r="Y28" s="46">
        <f>+X28*'Option 4, Step 1'!Z28/'Option 4, Step 1'!Y28</f>
        <v>19584.387314991778</v>
      </c>
      <c r="Z28" s="46">
        <f>+Y28*'Option 4, Step 1'!AA28/'Option 4, Step 1'!Z28</f>
        <v>19689.12732762735</v>
      </c>
      <c r="AA28" s="46">
        <f>+Z28*'Option 4, Step 1'!AB28/'Option 4, Step 1'!AA28</f>
        <v>19793.867340262921</v>
      </c>
      <c r="AC28" s="45" t="s">
        <v>23</v>
      </c>
      <c r="AD28" s="46">
        <f t="shared" si="2"/>
        <v>214958.27279872834</v>
      </c>
      <c r="AE28" s="46">
        <f t="shared" si="3"/>
        <v>5237.3357980144428</v>
      </c>
      <c r="AF28" s="46">
        <f t="shared" si="4"/>
        <v>6395.0518260201134</v>
      </c>
      <c r="AG28" s="46">
        <f t="shared" si="5"/>
        <v>4960.0013978979878</v>
      </c>
      <c r="AH28" s="46">
        <f t="shared" si="6"/>
        <v>2049.3381793391109</v>
      </c>
      <c r="AI28" s="46">
        <f>+'Firms Agri Trade Restaurants'!S29</f>
        <v>233600</v>
      </c>
      <c r="AJ28" s="52">
        <f t="shared" si="7"/>
        <v>7.9801914389005385E-2</v>
      </c>
      <c r="AK28" s="53"/>
      <c r="AL28" s="45" t="s">
        <v>23</v>
      </c>
      <c r="AM28" s="46">
        <f>+'Data by size class'!AO28+SUM('Data by size class'!BP28:BR28)</f>
        <v>214958.27279872831</v>
      </c>
      <c r="AN28" s="46">
        <f>+'Data by size class'!AP28+SUM('Data by size class'!BS28:BU28)</f>
        <v>5237.3357980144419</v>
      </c>
      <c r="AO28" s="46">
        <f>+'Data by size class'!AQ28</f>
        <v>6395.0518260201125</v>
      </c>
      <c r="AP28" s="46">
        <f>+'Data by size class'!AR28</f>
        <v>4960.0013978979869</v>
      </c>
      <c r="AQ28" s="46">
        <f>+'Data by size class'!AS28</f>
        <v>2049.3381793391104</v>
      </c>
      <c r="AR28" s="46">
        <f t="shared" si="10"/>
        <v>233599.99999999997</v>
      </c>
      <c r="AS28" s="52">
        <f t="shared" si="8"/>
        <v>7.9801914389005357E-2</v>
      </c>
      <c r="AU28" s="45" t="s">
        <v>23</v>
      </c>
      <c r="AV28" s="46">
        <f>+'Data by size class'!N28+'Firms Agri Trade Restaurants'!C29-'Data by size class'!AX28</f>
        <v>658372.12320221798</v>
      </c>
      <c r="AW28" s="46">
        <f>+SUM('Data by size class'!O28,'Data by size class'!Q28:S28)+'Data by size class'!AX28</f>
        <v>43292.87679778201</v>
      </c>
      <c r="AX28" s="46">
        <f t="shared" si="11"/>
        <v>701665</v>
      </c>
      <c r="AY28" s="52">
        <f t="shared" si="12"/>
        <v>6.1700208500897163E-2</v>
      </c>
      <c r="AZ28" s="46">
        <f>+AV28-(SUM('Data by size class'!AW28,'Data by size class'!AY28,'Data by size class'!BA28)-SUM('Data by size class'!AX28,'Data by size class'!AZ28,'Data by size class'!BB28))</f>
        <v>468289</v>
      </c>
      <c r="BA28" s="46">
        <f>+AW28-SUM('Data by size class'!AX28,'Data by size class'!AZ28,'Data by size class'!BB28)</f>
        <v>27222.999999999996</v>
      </c>
      <c r="BB28" s="46">
        <f>+AX28-SUM('Data by size class'!AW28,'Data by size class'!AY28,'Data by size class'!BA28)</f>
        <v>495512</v>
      </c>
      <c r="BC28" s="52">
        <f t="shared" si="13"/>
        <v>5.4939133663765953E-2</v>
      </c>
    </row>
    <row r="29" spans="1:55" x14ac:dyDescent="0.2">
      <c r="A29" s="146" t="s">
        <v>24</v>
      </c>
      <c r="B29" s="90">
        <f>+P29+'Option 1, Step 1'!Q30</f>
        <v>51202.767077024575</v>
      </c>
      <c r="C29" s="90">
        <f>+Q29+'Option 1, Step 1'!R30</f>
        <v>72055.209963122237</v>
      </c>
      <c r="D29" s="90">
        <f>+R29+'Option 1, Step 1'!S30</f>
        <v>89633.658865784411</v>
      </c>
      <c r="E29" s="90">
        <f>+S29+'Option 1, Step 1'!T30</f>
        <v>102823.84872444849</v>
      </c>
      <c r="F29" s="90">
        <f>+T29+'Option 1, Step 1'!U30</f>
        <v>111586.92808011961</v>
      </c>
      <c r="G29" s="90">
        <f>+U29+'Option 1, Step 1'!V30</f>
        <v>120278.30433017141</v>
      </c>
      <c r="H29" s="90">
        <f>+V29+'Option 1, Step 1'!W30</f>
        <v>128839.59645327365</v>
      </c>
      <c r="I29" s="90">
        <f>+W29+'Option 1, Step 1'!X30</f>
        <v>128672.44701733136</v>
      </c>
      <c r="J29" s="90">
        <f>+X29+'Option 1, Step 1'!Y30</f>
        <v>128620.15373430628</v>
      </c>
      <c r="K29" s="90">
        <f>+Y29+'Option 1, Step 1'!Z30</f>
        <v>128510.2044257442</v>
      </c>
      <c r="L29" s="90">
        <f>+Z29+'Option 1, Step 1'!AA30</f>
        <v>128430.31460368435</v>
      </c>
      <c r="M29" s="147">
        <f>+AA29+'Option 1, Step 1'!AB30</f>
        <v>128408.35310801878</v>
      </c>
      <c r="O29" s="45" t="s">
        <v>24</v>
      </c>
      <c r="P29" s="46">
        <f t="shared" si="9"/>
        <v>3928.8384520137606</v>
      </c>
      <c r="Q29" s="46">
        <f>+P29*'Option 4, Step 1'!R29/'Option 4, Step 1'!Q29</f>
        <v>3987.7363829522383</v>
      </c>
      <c r="R29" s="46">
        <f>+Q29*'Option 4, Step 1'!S29/'Option 4, Step 1'!R29</f>
        <v>4046.6343138907159</v>
      </c>
      <c r="S29" s="46">
        <f>+R29*'Option 4, Step 1'!T29/'Option 4, Step 1'!S29</f>
        <v>4105.5322448291936</v>
      </c>
      <c r="T29" s="46">
        <f>+S29*'Option 4, Step 1'!U29/'Option 4, Step 1'!T29</f>
        <v>4164.4301757676722</v>
      </c>
      <c r="U29" s="46">
        <f>+T29*'Option 4, Step 1'!V29/'Option 4, Step 1'!U29</f>
        <v>4223.3281067061498</v>
      </c>
      <c r="V29" s="46">
        <f>+U29*'Option 4, Step 1'!W29/'Option 4, Step 1'!V29</f>
        <v>4282.2260376446275</v>
      </c>
      <c r="W29" s="46">
        <f>+V29*'Option 4, Step 1'!X29/'Option 4, Step 1'!W29</f>
        <v>4341.1239685831051</v>
      </c>
      <c r="X29" s="46">
        <f>+W29*'Option 4, Step 1'!Y29/'Option 4, Step 1'!X29</f>
        <v>4400.0218995215828</v>
      </c>
      <c r="Y29" s="46">
        <f>+X29*'Option 4, Step 1'!Z29/'Option 4, Step 1'!Y29</f>
        <v>4458.9198304600604</v>
      </c>
      <c r="Z29" s="46">
        <f>+Y29*'Option 4, Step 1'!AA29/'Option 4, Step 1'!Z29</f>
        <v>4517.8177613985381</v>
      </c>
      <c r="AA29" s="46">
        <f>+Z29*'Option 4, Step 1'!AB29/'Option 4, Step 1'!AA29</f>
        <v>4576.7156923370167</v>
      </c>
      <c r="AC29" s="45" t="s">
        <v>24</v>
      </c>
      <c r="AD29" s="46">
        <f t="shared" si="2"/>
        <v>52771.161547986238</v>
      </c>
      <c r="AE29" s="46">
        <f t="shared" si="3"/>
        <v>1167.7738339320547</v>
      </c>
      <c r="AF29" s="46">
        <f t="shared" si="4"/>
        <v>1249.9811338817797</v>
      </c>
      <c r="AG29" s="46">
        <f t="shared" si="5"/>
        <v>1122.5147922788537</v>
      </c>
      <c r="AH29" s="46">
        <f t="shared" si="6"/>
        <v>388.56869192107268</v>
      </c>
      <c r="AI29" s="46">
        <f>+'Firms Agri Trade Restaurants'!S30</f>
        <v>56700</v>
      </c>
      <c r="AJ29" s="52">
        <f t="shared" si="7"/>
        <v>6.9291683457032821E-2</v>
      </c>
      <c r="AK29" s="53"/>
      <c r="AL29" s="45" t="s">
        <v>24</v>
      </c>
      <c r="AM29" s="46">
        <f>+'Data by size class'!AO29+SUM('Data by size class'!BP29:BR29)</f>
        <v>52771.161547986252</v>
      </c>
      <c r="AN29" s="46">
        <f>+'Data by size class'!AP29+SUM('Data by size class'!BS29:BU29)</f>
        <v>1167.7738339320549</v>
      </c>
      <c r="AO29" s="46">
        <f>+'Data by size class'!AQ29</f>
        <v>1249.9811338817799</v>
      </c>
      <c r="AP29" s="46">
        <f>+'Data by size class'!AR29</f>
        <v>1122.514792278854</v>
      </c>
      <c r="AQ29" s="46">
        <f>+'Data by size class'!AS29</f>
        <v>388.5686919210728</v>
      </c>
      <c r="AR29" s="46">
        <f t="shared" si="10"/>
        <v>56700.000000000015</v>
      </c>
      <c r="AS29" s="52">
        <f t="shared" si="8"/>
        <v>6.9291683457032807E-2</v>
      </c>
      <c r="AU29" s="45" t="s">
        <v>24</v>
      </c>
      <c r="AV29" s="46">
        <f>+'Data by size class'!N29+'Firms Agri Trade Restaurants'!C30-'Data by size class'!AX29</f>
        <v>207464.04675442577</v>
      </c>
      <c r="AW29" s="46">
        <f>+SUM('Data by size class'!O29,'Data by size class'!Q29:S29)+'Data by size class'!AX29</f>
        <v>8151.9532455742174</v>
      </c>
      <c r="AX29" s="46">
        <f t="shared" si="11"/>
        <v>215616</v>
      </c>
      <c r="AY29" s="52">
        <f t="shared" si="12"/>
        <v>3.7807738041584195E-2</v>
      </c>
      <c r="AZ29" s="46">
        <f>+AV29-(SUM('Data by size class'!AW29,'Data by size class'!AY29,'Data by size class'!BA29)-SUM('Data by size class'!AX29,'Data by size class'!AZ29,'Data by size class'!BB29))</f>
        <v>101390.99999999999</v>
      </c>
      <c r="BA29" s="46">
        <f>+AW29-SUM('Data by size class'!AX29,'Data by size class'!AZ29,'Data by size class'!BB29)</f>
        <v>5945</v>
      </c>
      <c r="BB29" s="46">
        <f>+AX29-SUM('Data by size class'!AW29,'Data by size class'!AY29,'Data by size class'!BA29)</f>
        <v>107336</v>
      </c>
      <c r="BC29" s="52">
        <f t="shared" si="13"/>
        <v>5.538682268763509E-2</v>
      </c>
    </row>
    <row r="30" spans="1:55" ht="13.5" thickBot="1" x14ac:dyDescent="0.25">
      <c r="A30" s="148" t="s">
        <v>25</v>
      </c>
      <c r="B30" s="149">
        <f>+P30+'Option 1, Step 1'!Q31</f>
        <v>142146.6306040801</v>
      </c>
      <c r="C30" s="149">
        <f>+Q30+'Option 1, Step 1'!R31</f>
        <v>201263.15997922455</v>
      </c>
      <c r="D30" s="149">
        <f>+R30+'Option 1, Step 1'!S31</f>
        <v>250490.19803460062</v>
      </c>
      <c r="E30" s="149">
        <f>+S30+'Option 1, Step 1'!T31</f>
        <v>286452.23762245465</v>
      </c>
      <c r="F30" s="149">
        <f>+T30+'Option 1, Step 1'!U31</f>
        <v>310007.8820792156</v>
      </c>
      <c r="G30" s="149">
        <f>+U30+'Option 1, Step 1'!V31</f>
        <v>333539.90219228336</v>
      </c>
      <c r="H30" s="149">
        <f>+V30+'Option 1, Step 1'!W31</f>
        <v>356873.28894876671</v>
      </c>
      <c r="I30" s="149">
        <f>+W30+'Option 1, Step 1'!X31</f>
        <v>355813.44669472089</v>
      </c>
      <c r="J30" s="149">
        <f>+X30+'Option 1, Step 1'!Y31</f>
        <v>354568.07152168581</v>
      </c>
      <c r="K30" s="149">
        <f>+Y30+'Option 1, Step 1'!Z31</f>
        <v>353648.92400839261</v>
      </c>
      <c r="L30" s="149">
        <f>+Z30+'Option 1, Step 1'!AA31</f>
        <v>352660.64812104055</v>
      </c>
      <c r="M30" s="150">
        <f>+AA30+'Option 1, Step 1'!AB31</f>
        <v>352141.83348534262</v>
      </c>
      <c r="O30" s="45" t="s">
        <v>25</v>
      </c>
      <c r="P30" s="46">
        <f t="shared" si="9"/>
        <v>10543.699302376668</v>
      </c>
      <c r="Q30" s="46">
        <f>+P30*'Option 4, Step 1'!R30/'Option 4, Step 1'!Q30</f>
        <v>10619.781497199318</v>
      </c>
      <c r="R30" s="46">
        <f>+Q30*'Option 4, Step 1'!S30/'Option 4, Step 1'!R30</f>
        <v>10695.863692021969</v>
      </c>
      <c r="S30" s="46">
        <f>+R30*'Option 4, Step 1'!T30/'Option 4, Step 1'!S30</f>
        <v>10771.945886844618</v>
      </c>
      <c r="T30" s="46">
        <f>+S30*'Option 4, Step 1'!U30/'Option 4, Step 1'!T30</f>
        <v>10848.028081667269</v>
      </c>
      <c r="U30" s="46">
        <f>+T30*'Option 4, Step 1'!V30/'Option 4, Step 1'!U30</f>
        <v>10924.110276489921</v>
      </c>
      <c r="V30" s="46">
        <f>+U30*'Option 4, Step 1'!W30/'Option 4, Step 1'!V30</f>
        <v>11000.192471312572</v>
      </c>
      <c r="W30" s="46">
        <f>+V30*'Option 4, Step 1'!X30/'Option 4, Step 1'!W30</f>
        <v>11076.274666135223</v>
      </c>
      <c r="X30" s="46">
        <f>+W30*'Option 4, Step 1'!Y30/'Option 4, Step 1'!X30</f>
        <v>11152.356860957874</v>
      </c>
      <c r="Y30" s="46">
        <f>+X30*'Option 4, Step 1'!Z30/'Option 4, Step 1'!Y30</f>
        <v>11228.439055780525</v>
      </c>
      <c r="Z30" s="46">
        <f>+Y30*'Option 4, Step 1'!AA30/'Option 4, Step 1'!Z30</f>
        <v>11304.521250603177</v>
      </c>
      <c r="AA30" s="46">
        <f>+Z30*'Option 4, Step 1'!AB30/'Option 4, Step 1'!AA30</f>
        <v>11380.603445425828</v>
      </c>
      <c r="AC30" s="45" t="s">
        <v>25</v>
      </c>
      <c r="AD30" s="46">
        <f t="shared" si="2"/>
        <v>254496.30069762337</v>
      </c>
      <c r="AE30" s="46">
        <f t="shared" si="3"/>
        <v>2696.0365712258836</v>
      </c>
      <c r="AF30" s="46">
        <f t="shared" si="4"/>
        <v>3366.8984188856339</v>
      </c>
      <c r="AG30" s="46">
        <f t="shared" si="5"/>
        <v>3179.071879389574</v>
      </c>
      <c r="AH30" s="46">
        <f t="shared" si="6"/>
        <v>1301.6924328755765</v>
      </c>
      <c r="AI30" s="46">
        <f>+'Firms Agri Trade Restaurants'!S31</f>
        <v>265040</v>
      </c>
      <c r="AJ30" s="52">
        <f t="shared" si="7"/>
        <v>3.9781539776549454E-2</v>
      </c>
      <c r="AK30" s="53"/>
      <c r="AL30" s="45" t="s">
        <v>25</v>
      </c>
      <c r="AM30" s="46">
        <f>+'Data by size class'!AO30+SUM('Data by size class'!BP30:BR30)</f>
        <v>254496.30069762337</v>
      </c>
      <c r="AN30" s="46">
        <f>+'Data by size class'!AP30+SUM('Data by size class'!BS30:BU30)</f>
        <v>2696.0365712258836</v>
      </c>
      <c r="AO30" s="46">
        <f>+'Data by size class'!AQ30</f>
        <v>3366.8984188856339</v>
      </c>
      <c r="AP30" s="46">
        <f>+'Data by size class'!AR30</f>
        <v>3179.071879389574</v>
      </c>
      <c r="AQ30" s="46">
        <f>+'Data by size class'!AS30</f>
        <v>1301.6924328755765</v>
      </c>
      <c r="AR30" s="46">
        <f t="shared" si="10"/>
        <v>265040</v>
      </c>
      <c r="AS30" s="52">
        <f t="shared" si="8"/>
        <v>3.9781539776549454E-2</v>
      </c>
      <c r="AU30" s="45" t="s">
        <v>25</v>
      </c>
      <c r="AV30" s="46">
        <f>+'Data by size class'!N30+'Firms Agri Trade Restaurants'!C31-'Data by size class'!AX30</f>
        <v>504563.50489759573</v>
      </c>
      <c r="AW30" s="46">
        <f>+SUM('Data by size class'!O30,'Data by size class'!Q30:S30)+'Data by size class'!AX30</f>
        <v>14732.495102404275</v>
      </c>
      <c r="AX30" s="46">
        <f t="shared" si="11"/>
        <v>519296</v>
      </c>
      <c r="AY30" s="52">
        <f t="shared" si="12"/>
        <v>2.8370130142354795E-2</v>
      </c>
      <c r="AZ30" s="46">
        <f>+AV30-(SUM('Data by size class'!AW30,'Data by size class'!AY30,'Data by size class'!BA30)-SUM('Data by size class'!AX30,'Data by size class'!AZ30,'Data by size class'!BB30))</f>
        <v>355785</v>
      </c>
      <c r="BA30" s="46">
        <f>+AW30-SUM('Data by size class'!AX30,'Data by size class'!AZ30,'Data by size class'!BB30)</f>
        <v>9810</v>
      </c>
      <c r="BB30" s="46">
        <f>+AX30-SUM('Data by size class'!AW30,'Data by size class'!AY30,'Data by size class'!BA30)</f>
        <v>365595</v>
      </c>
      <c r="BC30" s="52">
        <f t="shared" si="13"/>
        <v>2.6832970910433677E-2</v>
      </c>
    </row>
    <row r="32" spans="1:55" x14ac:dyDescent="0.2">
      <c r="B32" s="142" t="s">
        <v>378</v>
      </c>
      <c r="AI32" s="46"/>
    </row>
    <row r="33" spans="30:48" x14ac:dyDescent="0.2">
      <c r="AD33" s="43" t="s">
        <v>195</v>
      </c>
      <c r="AM33" s="43" t="s">
        <v>195</v>
      </c>
      <c r="AV33" s="43" t="s">
        <v>210</v>
      </c>
    </row>
    <row r="34" spans="30:48" x14ac:dyDescent="0.2">
      <c r="AD34" s="43" t="s">
        <v>196</v>
      </c>
      <c r="AM34" s="43" t="s">
        <v>196</v>
      </c>
      <c r="AV34" s="58" t="s">
        <v>207</v>
      </c>
    </row>
    <row r="35" spans="30:48" x14ac:dyDescent="0.2">
      <c r="AD35" s="43" t="s">
        <v>197</v>
      </c>
      <c r="AM35" s="43" t="s">
        <v>197</v>
      </c>
      <c r="AV35" s="58" t="s">
        <v>208</v>
      </c>
    </row>
    <row r="36" spans="30:48" x14ac:dyDescent="0.2">
      <c r="AV36" s="58" t="s">
        <v>211</v>
      </c>
    </row>
    <row r="37" spans="30:48" x14ac:dyDescent="0.2">
      <c r="AD37" s="58" t="s">
        <v>198</v>
      </c>
      <c r="AM37" s="58" t="s">
        <v>198</v>
      </c>
    </row>
    <row r="38" spans="30:48" x14ac:dyDescent="0.2">
      <c r="AD38" s="58" t="s">
        <v>204</v>
      </c>
      <c r="AM38" s="58" t="s">
        <v>204</v>
      </c>
    </row>
    <row r="39" spans="30:48" x14ac:dyDescent="0.2">
      <c r="AD39" s="58" t="s">
        <v>205</v>
      </c>
      <c r="AM39" s="58" t="s">
        <v>205</v>
      </c>
    </row>
  </sheetData>
  <pageMargins left="0.7" right="0.7" top="0.75" bottom="0.75" header="0.3" footer="0.3"/>
  <pageSetup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P32"/>
  <sheetViews>
    <sheetView workbookViewId="0">
      <selection activeCell="N25" sqref="N25"/>
    </sheetView>
  </sheetViews>
  <sheetFormatPr defaultColWidth="9.140625" defaultRowHeight="12.75" x14ac:dyDescent="0.2"/>
  <cols>
    <col min="1" max="1" width="3.5703125" style="43" customWidth="1"/>
    <col min="2" max="13" width="10.140625" style="43" bestFit="1" customWidth="1"/>
    <col min="14" max="14" width="9.140625" style="43"/>
    <col min="15" max="15" width="3.5703125" style="43" customWidth="1"/>
    <col min="16" max="16" width="9" style="43" customWidth="1"/>
    <col min="17" max="28" width="9.140625" style="43"/>
    <col min="29" max="29" width="5.85546875" style="43" customWidth="1"/>
    <col min="30" max="30" width="3.5703125" style="43" customWidth="1"/>
    <col min="31" max="31" width="10.140625" style="43" bestFit="1" customWidth="1"/>
    <col min="32" max="16384" width="9.140625" style="43"/>
  </cols>
  <sheetData>
    <row r="1" spans="1:42" ht="13.5" thickBot="1" x14ac:dyDescent="0.25">
      <c r="B1" s="43" t="s">
        <v>263</v>
      </c>
      <c r="P1" s="43" t="s">
        <v>261</v>
      </c>
      <c r="AE1" s="43" t="s">
        <v>262</v>
      </c>
    </row>
    <row r="2" spans="1:42" x14ac:dyDescent="0.2">
      <c r="A2" s="151"/>
      <c r="B2" s="144">
        <v>2019</v>
      </c>
      <c r="C2" s="144">
        <v>2020</v>
      </c>
      <c r="D2" s="144">
        <v>2021</v>
      </c>
      <c r="E2" s="144">
        <v>2022</v>
      </c>
      <c r="F2" s="144">
        <v>2023</v>
      </c>
      <c r="G2" s="144">
        <v>2024</v>
      </c>
      <c r="H2" s="144">
        <v>2025</v>
      </c>
      <c r="I2" s="144">
        <v>2026</v>
      </c>
      <c r="J2" s="144">
        <v>2027</v>
      </c>
      <c r="K2" s="144">
        <v>2028</v>
      </c>
      <c r="L2" s="144">
        <v>2029</v>
      </c>
      <c r="M2" s="145">
        <v>2030</v>
      </c>
      <c r="O2" s="44"/>
      <c r="P2" s="44">
        <v>2011</v>
      </c>
      <c r="Q2" s="44">
        <v>2019</v>
      </c>
      <c r="R2" s="44">
        <v>2020</v>
      </c>
      <c r="S2" s="44">
        <v>2021</v>
      </c>
      <c r="T2" s="44">
        <v>2022</v>
      </c>
      <c r="U2" s="44">
        <v>2023</v>
      </c>
      <c r="V2" s="44">
        <v>2024</v>
      </c>
      <c r="W2" s="44">
        <v>2025</v>
      </c>
      <c r="X2" s="44">
        <v>2026</v>
      </c>
      <c r="Y2" s="44">
        <v>2027</v>
      </c>
      <c r="Z2" s="44">
        <v>2028</v>
      </c>
      <c r="AA2" s="44">
        <v>2029</v>
      </c>
      <c r="AB2" s="44">
        <v>2030</v>
      </c>
      <c r="AD2" s="44"/>
      <c r="AE2" s="44">
        <v>2019</v>
      </c>
      <c r="AF2" s="44">
        <v>2020</v>
      </c>
      <c r="AG2" s="44">
        <v>2021</v>
      </c>
      <c r="AH2" s="44">
        <v>2022</v>
      </c>
      <c r="AI2" s="44">
        <v>2023</v>
      </c>
      <c r="AJ2" s="44">
        <v>2024</v>
      </c>
      <c r="AK2" s="44">
        <v>2025</v>
      </c>
      <c r="AL2" s="44">
        <v>2026</v>
      </c>
      <c r="AM2" s="44">
        <v>2027</v>
      </c>
      <c r="AN2" s="44">
        <v>2028</v>
      </c>
      <c r="AO2" s="44">
        <v>2029</v>
      </c>
      <c r="AP2" s="44">
        <v>2030</v>
      </c>
    </row>
    <row r="3" spans="1:42" x14ac:dyDescent="0.2">
      <c r="A3" s="146" t="s">
        <v>72</v>
      </c>
      <c r="B3" s="90">
        <f t="shared" ref="B3:M3" si="0">+SUM(B4:B30)</f>
        <v>17647200.819250003</v>
      </c>
      <c r="C3" s="90">
        <f t="shared" si="0"/>
        <v>18127424.211961474</v>
      </c>
      <c r="D3" s="90">
        <f t="shared" si="0"/>
        <v>18733785.337212231</v>
      </c>
      <c r="E3" s="90">
        <f t="shared" si="0"/>
        <v>20745820.997384429</v>
      </c>
      <c r="F3" s="90">
        <f t="shared" si="0"/>
        <v>22055019.390095912</v>
      </c>
      <c r="G3" s="90">
        <f t="shared" si="0"/>
        <v>23364217.782807391</v>
      </c>
      <c r="H3" s="90">
        <f t="shared" si="0"/>
        <v>24673416.175518863</v>
      </c>
      <c r="I3" s="90">
        <f t="shared" si="0"/>
        <v>24563420.51323035</v>
      </c>
      <c r="J3" s="90">
        <f t="shared" si="0"/>
        <v>24453424.850941826</v>
      </c>
      <c r="K3" s="90">
        <f t="shared" si="0"/>
        <v>24343429.188653301</v>
      </c>
      <c r="L3" s="90">
        <f t="shared" si="0"/>
        <v>24233433.526364785</v>
      </c>
      <c r="M3" s="147">
        <f t="shared" si="0"/>
        <v>24123437.86407626</v>
      </c>
      <c r="O3" s="45" t="s">
        <v>72</v>
      </c>
      <c r="P3" s="46">
        <v>3468400</v>
      </c>
      <c r="Q3" s="46">
        <v>4415600</v>
      </c>
      <c r="R3" s="46">
        <f t="shared" ref="R3:AB3" si="1">+SUM(R4:R30)</f>
        <v>4534225</v>
      </c>
      <c r="S3" s="46">
        <f t="shared" si="1"/>
        <v>4652650</v>
      </c>
      <c r="T3" s="46">
        <f t="shared" si="1"/>
        <v>4771075</v>
      </c>
      <c r="U3" s="46">
        <f t="shared" si="1"/>
        <v>4889500</v>
      </c>
      <c r="V3" s="46">
        <f t="shared" si="1"/>
        <v>5007925</v>
      </c>
      <c r="W3" s="46">
        <f t="shared" si="1"/>
        <v>5126350</v>
      </c>
      <c r="X3" s="46">
        <f t="shared" si="1"/>
        <v>5244775</v>
      </c>
      <c r="Y3" s="46">
        <f t="shared" si="1"/>
        <v>5363200</v>
      </c>
      <c r="Z3" s="46">
        <f t="shared" si="1"/>
        <v>5481625</v>
      </c>
      <c r="AA3" s="46">
        <f t="shared" si="1"/>
        <v>5600050</v>
      </c>
      <c r="AB3" s="46">
        <f t="shared" si="1"/>
        <v>5718475</v>
      </c>
      <c r="AD3" s="45" t="s">
        <v>72</v>
      </c>
      <c r="AE3" s="46">
        <f>+'Option 1, Step 1'!Q4*35%</f>
        <v>4204051.8257499998</v>
      </c>
      <c r="AF3" s="46">
        <f t="shared" ref="AF3:AP3" si="2">+SUM(AF4:AF30)</f>
        <v>4314047.4880385213</v>
      </c>
      <c r="AG3" s="46">
        <f t="shared" si="2"/>
        <v>4424043.1503270445</v>
      </c>
      <c r="AH3" s="46">
        <f t="shared" si="2"/>
        <v>4534038.8126155669</v>
      </c>
      <c r="AI3" s="46">
        <f t="shared" si="2"/>
        <v>4644034.4749040883</v>
      </c>
      <c r="AJ3" s="46">
        <f t="shared" si="2"/>
        <v>4754030.1371926107</v>
      </c>
      <c r="AK3" s="46">
        <f t="shared" si="2"/>
        <v>4864025.7994811321</v>
      </c>
      <c r="AL3" s="46">
        <f t="shared" si="2"/>
        <v>4974021.4617696553</v>
      </c>
      <c r="AM3" s="46">
        <f t="shared" si="2"/>
        <v>5084017.1240581768</v>
      </c>
      <c r="AN3" s="46">
        <f t="shared" si="2"/>
        <v>5194012.7863466982</v>
      </c>
      <c r="AO3" s="46">
        <f t="shared" si="2"/>
        <v>5304008.4486352205</v>
      </c>
      <c r="AP3" s="46">
        <f t="shared" si="2"/>
        <v>5414004.110923741</v>
      </c>
    </row>
    <row r="4" spans="1:42" x14ac:dyDescent="0.2">
      <c r="A4" s="146" t="s">
        <v>0</v>
      </c>
      <c r="B4" s="90">
        <f>+'Option 1, Step 1'!Q5-AE4+'Option 4, Step 1'!Q4-P4</f>
        <v>264914.58022756508</v>
      </c>
      <c r="C4" s="90">
        <f>+'Option 1, Step 1'!R5-AF4+'Option 4, Step 1'!R4-Q4</f>
        <v>230631.55720058671</v>
      </c>
      <c r="D4" s="90">
        <f>+'Option 1, Step 1'!S5-AG4+'Option 4, Step 1'!S4-R4</f>
        <v>198713.55766644026</v>
      </c>
      <c r="E4" s="90">
        <f>+'Option 1, Step 1'!T5-AH4+'Option 4, Step 1'!T4-S4</f>
        <v>223704.77860265691</v>
      </c>
      <c r="F4" s="90">
        <f>+'Option 1, Step 1'!U5-AI4+'Option 4, Step 1'!U4-T4</f>
        <v>239778.6772800053</v>
      </c>
      <c r="G4" s="90">
        <f>+'Option 1, Step 1'!V5-AJ4+'Option 4, Step 1'!V4-U4</f>
        <v>256170.03510122467</v>
      </c>
      <c r="H4" s="90">
        <f>+'Option 1, Step 1'!W5-AK4+'Option 4, Step 1'!W4-V4</f>
        <v>272873.71506962436</v>
      </c>
      <c r="I4" s="90">
        <f>+'Option 1, Step 1'!X5-AL4+'Option 4, Step 1'!X4-W4</f>
        <v>271494.21348728123</v>
      </c>
      <c r="J4" s="90">
        <f>+'Option 1, Step 1'!Y5-AM4+'Option 4, Step 1'!Y4-X4</f>
        <v>270109.01921143004</v>
      </c>
      <c r="K4" s="90">
        <f>+'Option 1, Step 1'!Z5-AN4+'Option 4, Step 1'!Z4-Y4</f>
        <v>268646.76138827566</v>
      </c>
      <c r="L4" s="90">
        <f>+'Option 1, Step 1'!AA5-AO4+'Option 4, Step 1'!AA4-Z4</f>
        <v>267271.77636014926</v>
      </c>
      <c r="M4" s="147">
        <f>+'Option 1, Step 1'!AB5-AP4+'Option 4, Step 1'!AB4-AA4</f>
        <v>265936.01687188476</v>
      </c>
      <c r="O4" s="45" t="s">
        <v>0</v>
      </c>
      <c r="P4" s="46">
        <v>57900</v>
      </c>
      <c r="Q4" s="46">
        <v>73500</v>
      </c>
      <c r="R4" s="46">
        <f>+Q4+($Q4-$P4)/8</f>
        <v>75450</v>
      </c>
      <c r="S4" s="46">
        <f t="shared" ref="S4:AB4" si="3">+R4+($Q4-$P4)/8</f>
        <v>77400</v>
      </c>
      <c r="T4" s="46">
        <f t="shared" si="3"/>
        <v>79350</v>
      </c>
      <c r="U4" s="46">
        <f t="shared" si="3"/>
        <v>81300</v>
      </c>
      <c r="V4" s="46">
        <f t="shared" si="3"/>
        <v>83250</v>
      </c>
      <c r="W4" s="46">
        <f t="shared" si="3"/>
        <v>85200</v>
      </c>
      <c r="X4" s="46">
        <f t="shared" si="3"/>
        <v>87150</v>
      </c>
      <c r="Y4" s="46">
        <f t="shared" si="3"/>
        <v>89100</v>
      </c>
      <c r="Z4" s="46">
        <f t="shared" si="3"/>
        <v>91050</v>
      </c>
      <c r="AA4" s="46">
        <f t="shared" si="3"/>
        <v>93000</v>
      </c>
      <c r="AB4" s="46">
        <f t="shared" si="3"/>
        <v>94950</v>
      </c>
      <c r="AD4" s="45" t="s">
        <v>0</v>
      </c>
      <c r="AE4" s="46">
        <f>+'Option 1, Step 1'!Q5*35%</f>
        <v>79484.773968688896</v>
      </c>
      <c r="AF4" s="46">
        <f>+AE4*R4/Q4</f>
        <v>81593.553686225539</v>
      </c>
      <c r="AG4" s="46">
        <f t="shared" ref="AG4:AP4" si="4">+AF4*S4/R4</f>
        <v>83702.333403762183</v>
      </c>
      <c r="AH4" s="46">
        <f t="shared" si="4"/>
        <v>85811.113121298826</v>
      </c>
      <c r="AI4" s="46">
        <f t="shared" si="4"/>
        <v>87919.892838835469</v>
      </c>
      <c r="AJ4" s="46">
        <f t="shared" si="4"/>
        <v>90028.672556372112</v>
      </c>
      <c r="AK4" s="46">
        <f t="shared" si="4"/>
        <v>92137.452273908755</v>
      </c>
      <c r="AL4" s="46">
        <f t="shared" si="4"/>
        <v>94246.231991445398</v>
      </c>
      <c r="AM4" s="46">
        <f t="shared" si="4"/>
        <v>96355.011708982041</v>
      </c>
      <c r="AN4" s="46">
        <f t="shared" si="4"/>
        <v>98463.791426518699</v>
      </c>
      <c r="AO4" s="46">
        <f t="shared" si="4"/>
        <v>100572.57114405534</v>
      </c>
      <c r="AP4" s="46">
        <f t="shared" si="4"/>
        <v>102681.350861592</v>
      </c>
    </row>
    <row r="5" spans="1:42" x14ac:dyDescent="0.2">
      <c r="A5" s="146" t="s">
        <v>1</v>
      </c>
      <c r="B5" s="90">
        <f>+'Option 1, Step 1'!Q6-AE5+'Option 4, Step 1'!Q5-P5</f>
        <v>417048.27066143113</v>
      </c>
      <c r="C5" s="90">
        <f>+'Option 1, Step 1'!R6-AF5+'Option 4, Step 1'!R5-Q5</f>
        <v>391869.16337368987</v>
      </c>
      <c r="D5" s="90">
        <f>+'Option 1, Step 1'!S6-AG5+'Option 4, Step 1'!S5-R5</f>
        <v>403262.89671740355</v>
      </c>
      <c r="E5" s="90">
        <f>+'Option 1, Step 1'!T6-AH5+'Option 4, Step 1'!T5-S5</f>
        <v>444749.69828721462</v>
      </c>
      <c r="F5" s="90">
        <f>+'Option 1, Step 1'!U6-AI5+'Option 4, Step 1'!U5-T5</f>
        <v>471844.39595293056</v>
      </c>
      <c r="G5" s="90">
        <f>+'Option 1, Step 1'!V6-AJ5+'Option 4, Step 1'!V5-U5</f>
        <v>499233.04291452689</v>
      </c>
      <c r="H5" s="90">
        <f>+'Option 1, Step 1'!W6-AK5+'Option 4, Step 1'!W5-V5</f>
        <v>526903.09002847504</v>
      </c>
      <c r="I5" s="90">
        <f>+'Option 1, Step 1'!X6-AL5+'Option 4, Step 1'!X5-W5</f>
        <v>524321.75370576314</v>
      </c>
      <c r="J5" s="90">
        <f>+'Option 1, Step 1'!Y6-AM5+'Option 4, Step 1'!Y5-X5</f>
        <v>521702.62740774686</v>
      </c>
      <c r="K5" s="90">
        <f>+'Option 1, Step 1'!Z6-AN5+'Option 4, Step 1'!Z5-Y5</f>
        <v>519020.54377463623</v>
      </c>
      <c r="L5" s="90">
        <f>+'Option 1, Step 1'!AA6-AO5+'Option 4, Step 1'!AA5-Z5</f>
        <v>516412.74192739394</v>
      </c>
      <c r="M5" s="147">
        <f>+'Option 1, Step 1'!AB6-AP5+'Option 4, Step 1'!AB5-AA5</f>
        <v>513832.34895304625</v>
      </c>
      <c r="O5" s="45" t="s">
        <v>1</v>
      </c>
      <c r="P5" s="46">
        <v>114300</v>
      </c>
      <c r="Q5" s="46">
        <v>173300</v>
      </c>
      <c r="R5" s="46">
        <f t="shared" ref="R5:AB5" si="5">+Q5+($Q5-$P5)/8</f>
        <v>180675</v>
      </c>
      <c r="S5" s="46">
        <f t="shared" si="5"/>
        <v>188050</v>
      </c>
      <c r="T5" s="46">
        <f t="shared" si="5"/>
        <v>195425</v>
      </c>
      <c r="U5" s="46">
        <f t="shared" si="5"/>
        <v>202800</v>
      </c>
      <c r="V5" s="46">
        <f t="shared" si="5"/>
        <v>210175</v>
      </c>
      <c r="W5" s="46">
        <f t="shared" si="5"/>
        <v>217550</v>
      </c>
      <c r="X5" s="46">
        <f t="shared" si="5"/>
        <v>224925</v>
      </c>
      <c r="Y5" s="46">
        <f t="shared" si="5"/>
        <v>232300</v>
      </c>
      <c r="Z5" s="46">
        <f t="shared" si="5"/>
        <v>239675</v>
      </c>
      <c r="AA5" s="46">
        <f t="shared" si="5"/>
        <v>247050</v>
      </c>
      <c r="AB5" s="46">
        <f t="shared" si="5"/>
        <v>254425</v>
      </c>
      <c r="AD5" s="45" t="s">
        <v>1</v>
      </c>
      <c r="AE5" s="46">
        <f>+'Option 1, Step 1'!Q6*35%</f>
        <v>88925.991894616775</v>
      </c>
      <c r="AF5" s="46">
        <f t="shared" ref="AF5:AP5" si="6">+AE5*R5/Q5</f>
        <v>92710.349599306894</v>
      </c>
      <c r="AG5" s="46">
        <f t="shared" si="6"/>
        <v>96494.707303997027</v>
      </c>
      <c r="AH5" s="46">
        <f t="shared" si="6"/>
        <v>100279.06500868715</v>
      </c>
      <c r="AI5" s="46">
        <f t="shared" si="6"/>
        <v>104063.42271337727</v>
      </c>
      <c r="AJ5" s="46">
        <f t="shared" si="6"/>
        <v>107847.78041806738</v>
      </c>
      <c r="AK5" s="46">
        <f t="shared" si="6"/>
        <v>111632.1381227575</v>
      </c>
      <c r="AL5" s="46">
        <f t="shared" si="6"/>
        <v>115416.49582744762</v>
      </c>
      <c r="AM5" s="46">
        <f t="shared" si="6"/>
        <v>119200.85353213776</v>
      </c>
      <c r="AN5" s="46">
        <f t="shared" si="6"/>
        <v>122985.21123682788</v>
      </c>
      <c r="AO5" s="46">
        <f t="shared" si="6"/>
        <v>126769.56894151799</v>
      </c>
      <c r="AP5" s="46">
        <f t="shared" si="6"/>
        <v>130553.92664620813</v>
      </c>
    </row>
    <row r="6" spans="1:42" x14ac:dyDescent="0.2">
      <c r="A6" s="146" t="s">
        <v>2</v>
      </c>
      <c r="B6" s="90">
        <f>+'Option 1, Step 1'!Q7-AE6+'Option 4, Step 1'!Q6-P6</f>
        <v>205498.08788543585</v>
      </c>
      <c r="C6" s="90">
        <f>+'Option 1, Step 1'!R7-AF6+'Option 4, Step 1'!R6-Q6</f>
        <v>214817.44527674172</v>
      </c>
      <c r="D6" s="90">
        <f>+'Option 1, Step 1'!S7-AG6+'Option 4, Step 1'!S6-R6</f>
        <v>227084.00149610377</v>
      </c>
      <c r="E6" s="90">
        <f>+'Option 1, Step 1'!T7-AH6+'Option 4, Step 1'!T6-S6</f>
        <v>254250.78299299744</v>
      </c>
      <c r="F6" s="90">
        <f>+'Option 1, Step 1'!U7-AI6+'Option 4, Step 1'!U6-T6</f>
        <v>270218.3833732293</v>
      </c>
      <c r="G6" s="90">
        <f>+'Option 1, Step 1'!V7-AJ6+'Option 4, Step 1'!V6-U6</f>
        <v>285851.95455789182</v>
      </c>
      <c r="H6" s="90">
        <f>+'Option 1, Step 1'!W7-AK6+'Option 4, Step 1'!W6-V6</f>
        <v>301104.03753139928</v>
      </c>
      <c r="I6" s="90">
        <f>+'Option 1, Step 1'!X7-AL6+'Option 4, Step 1'!X6-W6</f>
        <v>294761.83935529669</v>
      </c>
      <c r="J6" s="90">
        <f>+'Option 1, Step 1'!Y7-AM6+'Option 4, Step 1'!Y6-X6</f>
        <v>289139.61824246455</v>
      </c>
      <c r="K6" s="90">
        <f>+'Option 1, Step 1'!Z7-AN6+'Option 4, Step 1'!Z6-Y6</f>
        <v>283777.72296412033</v>
      </c>
      <c r="L6" s="90">
        <f>+'Option 1, Step 1'!AA7-AO6+'Option 4, Step 1'!AA6-Z6</f>
        <v>278269.8345226667</v>
      </c>
      <c r="M6" s="147">
        <f>+'Option 1, Step 1'!AB7-AP6+'Option 4, Step 1'!AB6-AA6</f>
        <v>273068.15201550635</v>
      </c>
      <c r="O6" s="45" t="s">
        <v>2</v>
      </c>
      <c r="P6" s="46">
        <v>23600</v>
      </c>
      <c r="Q6" s="46">
        <v>40200</v>
      </c>
      <c r="R6" s="46">
        <f t="shared" ref="R6:AB6" si="7">+Q6+($Q6-$P6)/8</f>
        <v>42275</v>
      </c>
      <c r="S6" s="46">
        <f t="shared" si="7"/>
        <v>44350</v>
      </c>
      <c r="T6" s="46">
        <f t="shared" si="7"/>
        <v>46425</v>
      </c>
      <c r="U6" s="46">
        <f t="shared" si="7"/>
        <v>48500</v>
      </c>
      <c r="V6" s="46">
        <f t="shared" si="7"/>
        <v>50575</v>
      </c>
      <c r="W6" s="46">
        <f t="shared" si="7"/>
        <v>52650</v>
      </c>
      <c r="X6" s="46">
        <f t="shared" si="7"/>
        <v>54725</v>
      </c>
      <c r="Y6" s="46">
        <f t="shared" si="7"/>
        <v>56800</v>
      </c>
      <c r="Z6" s="46">
        <f t="shared" si="7"/>
        <v>58875</v>
      </c>
      <c r="AA6" s="46">
        <f t="shared" si="7"/>
        <v>60950</v>
      </c>
      <c r="AB6" s="46">
        <f t="shared" si="7"/>
        <v>63025</v>
      </c>
      <c r="AD6" s="45" t="s">
        <v>2</v>
      </c>
      <c r="AE6" s="46">
        <f>+'Option 1, Step 1'!Q7*35%</f>
        <v>62837.431938311602</v>
      </c>
      <c r="AF6" s="46">
        <f t="shared" ref="AF6:AP6" si="8">+AE6*R6/Q6</f>
        <v>66080.906348062766</v>
      </c>
      <c r="AG6" s="46">
        <f t="shared" si="8"/>
        <v>69324.380757813924</v>
      </c>
      <c r="AH6" s="46">
        <f t="shared" si="8"/>
        <v>72567.855167565082</v>
      </c>
      <c r="AI6" s="46">
        <f t="shared" si="8"/>
        <v>75811.329577316239</v>
      </c>
      <c r="AJ6" s="46">
        <f t="shared" si="8"/>
        <v>79054.803987067397</v>
      </c>
      <c r="AK6" s="46">
        <f t="shared" si="8"/>
        <v>82298.278396818554</v>
      </c>
      <c r="AL6" s="46">
        <f t="shared" si="8"/>
        <v>85541.752806569726</v>
      </c>
      <c r="AM6" s="46">
        <f t="shared" si="8"/>
        <v>88785.227216320884</v>
      </c>
      <c r="AN6" s="46">
        <f t="shared" si="8"/>
        <v>92028.701626072041</v>
      </c>
      <c r="AO6" s="46">
        <f t="shared" si="8"/>
        <v>95272.176035823199</v>
      </c>
      <c r="AP6" s="46">
        <f t="shared" si="8"/>
        <v>98515.650445574356</v>
      </c>
    </row>
    <row r="7" spans="1:42" x14ac:dyDescent="0.2">
      <c r="A7" s="146" t="s">
        <v>3</v>
      </c>
      <c r="B7" s="90">
        <f>+'Option 1, Step 1'!Q8-AE7+'Option 4, Step 1'!Q7-P7</f>
        <v>43945.964872762939</v>
      </c>
      <c r="C7" s="90">
        <f>+'Option 1, Step 1'!R8-AF7+'Option 4, Step 1'!R7-Q7</f>
        <v>47581.344091666579</v>
      </c>
      <c r="D7" s="90">
        <f>+'Option 1, Step 1'!S8-AG7+'Option 4, Step 1'!S7-R7</f>
        <v>52392.467732431265</v>
      </c>
      <c r="E7" s="90">
        <f>+'Option 1, Step 1'!T8-AH7+'Option 4, Step 1'!T7-S7</f>
        <v>58340.233534733983</v>
      </c>
      <c r="F7" s="90">
        <f>+'Option 1, Step 1'!U8-AI7+'Option 4, Step 1'!U7-T7</f>
        <v>62353.573457795195</v>
      </c>
      <c r="G7" s="90">
        <f>+'Option 1, Step 1'!V8-AJ7+'Option 4, Step 1'!V7-U7</f>
        <v>66409.275853509112</v>
      </c>
      <c r="H7" s="90">
        <f>+'Option 1, Step 1'!W8-AK7+'Option 4, Step 1'!W7-V7</f>
        <v>70539.792076409838</v>
      </c>
      <c r="I7" s="90">
        <f>+'Option 1, Step 1'!X8-AL7+'Option 4, Step 1'!X7-W7</f>
        <v>70461.124854896072</v>
      </c>
      <c r="J7" s="90">
        <f>+'Option 1, Step 1'!Y8-AM7+'Option 4, Step 1'!Y7-X7</f>
        <v>70392.229935672498</v>
      </c>
      <c r="K7" s="90">
        <f>+'Option 1, Step 1'!Z8-AN7+'Option 4, Step 1'!Z7-Y7</f>
        <v>70373.72263126832</v>
      </c>
      <c r="L7" s="90">
        <f>+'Option 1, Step 1'!AA8-AO7+'Option 4, Step 1'!AA7-Z7</f>
        <v>70375.323413535196</v>
      </c>
      <c r="M7" s="147">
        <f>+'Option 1, Step 1'!AB8-AP7+'Option 4, Step 1'!AB7-AA7</f>
        <v>70377.969832011222</v>
      </c>
      <c r="O7" s="45" t="s">
        <v>3</v>
      </c>
      <c r="P7" s="46">
        <v>7400</v>
      </c>
      <c r="Q7" s="46">
        <v>10900</v>
      </c>
      <c r="R7" s="46">
        <f t="shared" ref="R7:AB7" si="9">+Q7+($Q7-$P7)/8</f>
        <v>11337.5</v>
      </c>
      <c r="S7" s="46">
        <f t="shared" si="9"/>
        <v>11775</v>
      </c>
      <c r="T7" s="46">
        <f t="shared" si="9"/>
        <v>12212.5</v>
      </c>
      <c r="U7" s="46">
        <f t="shared" si="9"/>
        <v>12650</v>
      </c>
      <c r="V7" s="46">
        <f t="shared" si="9"/>
        <v>13087.5</v>
      </c>
      <c r="W7" s="46">
        <f t="shared" si="9"/>
        <v>13525</v>
      </c>
      <c r="X7" s="46">
        <f t="shared" si="9"/>
        <v>13962.5</v>
      </c>
      <c r="Y7" s="46">
        <f t="shared" si="9"/>
        <v>14400</v>
      </c>
      <c r="Z7" s="46">
        <f t="shared" si="9"/>
        <v>14837.5</v>
      </c>
      <c r="AA7" s="46">
        <f t="shared" si="9"/>
        <v>15275</v>
      </c>
      <c r="AB7" s="46">
        <f t="shared" si="9"/>
        <v>15712.5</v>
      </c>
      <c r="AD7" s="45" t="s">
        <v>3</v>
      </c>
      <c r="AE7" s="46">
        <f>+'Option 1, Step 1'!Q8*35%</f>
        <v>9770.9041622569675</v>
      </c>
      <c r="AF7" s="46">
        <f t="shared" ref="AF7:AP7" si="10">+AE7*R7/Q7</f>
        <v>10163.084948586089</v>
      </c>
      <c r="AG7" s="46">
        <f t="shared" si="10"/>
        <v>10555.26573491521</v>
      </c>
      <c r="AH7" s="46">
        <f t="shared" si="10"/>
        <v>10947.446521244332</v>
      </c>
      <c r="AI7" s="46">
        <f t="shared" si="10"/>
        <v>11339.627307573453</v>
      </c>
      <c r="AJ7" s="46">
        <f t="shared" si="10"/>
        <v>11731.808093902575</v>
      </c>
      <c r="AK7" s="46">
        <f t="shared" si="10"/>
        <v>12123.988880231696</v>
      </c>
      <c r="AL7" s="46">
        <f t="shared" si="10"/>
        <v>12516.169666560818</v>
      </c>
      <c r="AM7" s="46">
        <f t="shared" si="10"/>
        <v>12908.350452889939</v>
      </c>
      <c r="AN7" s="46">
        <f t="shared" si="10"/>
        <v>13300.531239219061</v>
      </c>
      <c r="AO7" s="46">
        <f t="shared" si="10"/>
        <v>13692.712025548182</v>
      </c>
      <c r="AP7" s="46">
        <f t="shared" si="10"/>
        <v>14084.892811877304</v>
      </c>
    </row>
    <row r="8" spans="1:42" x14ac:dyDescent="0.2">
      <c r="A8" s="146" t="s">
        <v>4</v>
      </c>
      <c r="B8" s="90">
        <f>+'Option 1, Step 1'!Q9-AE8+'Option 4, Step 1'!Q8-P8</f>
        <v>623681.49089616945</v>
      </c>
      <c r="C8" s="90">
        <f>+'Option 1, Step 1'!R9-AF8+'Option 4, Step 1'!R8-Q8</f>
        <v>627468.91360387788</v>
      </c>
      <c r="D8" s="90">
        <f>+'Option 1, Step 1'!S9-AG8+'Option 4, Step 1'!S8-R8</f>
        <v>659436.96298542852</v>
      </c>
      <c r="E8" s="90">
        <f>+'Option 1, Step 1'!T9-AH8+'Option 4, Step 1'!T8-S8</f>
        <v>695057.81881064246</v>
      </c>
      <c r="F8" s="90">
        <f>+'Option 1, Step 1'!U9-AI8+'Option 4, Step 1'!U8-T8</f>
        <v>717315.94803374715</v>
      </c>
      <c r="G8" s="90">
        <f>+'Option 1, Step 1'!V9-AJ8+'Option 4, Step 1'!V8-U8</f>
        <v>739772.85876421607</v>
      </c>
      <c r="H8" s="90">
        <f>+'Option 1, Step 1'!W9-AK8+'Option 4, Step 1'!W8-V8</f>
        <v>762351.3506236478</v>
      </c>
      <c r="I8" s="90">
        <f>+'Option 1, Step 1'!X9-AL8+'Option 4, Step 1'!X8-W8</f>
        <v>758932.77095569181</v>
      </c>
      <c r="J8" s="90">
        <f>+'Option 1, Step 1'!Y9-AM8+'Option 4, Step 1'!Y8-X8</f>
        <v>755471.44004326174</v>
      </c>
      <c r="K8" s="90">
        <f>+'Option 1, Step 1'!Z9-AN8+'Option 4, Step 1'!Z8-Y8</f>
        <v>752173.88464563107</v>
      </c>
      <c r="L8" s="90">
        <f>+'Option 1, Step 1'!AA9-AO8+'Option 4, Step 1'!AA8-Z8</f>
        <v>748983.82536459877</v>
      </c>
      <c r="M8" s="147">
        <f>+'Option 1, Step 1'!AB9-AP8+'Option 4, Step 1'!AB8-AA8</f>
        <v>745637.11340015882</v>
      </c>
      <c r="O8" s="45" t="s">
        <v>4</v>
      </c>
      <c r="P8" s="46">
        <v>87600</v>
      </c>
      <c r="Q8" s="46">
        <v>133500</v>
      </c>
      <c r="R8" s="46">
        <f t="shared" ref="R8:AB8" si="11">+Q8+($Q8-$P8)/8</f>
        <v>139237.5</v>
      </c>
      <c r="S8" s="46">
        <f t="shared" si="11"/>
        <v>144975</v>
      </c>
      <c r="T8" s="46">
        <f t="shared" si="11"/>
        <v>150712.5</v>
      </c>
      <c r="U8" s="46">
        <f t="shared" si="11"/>
        <v>156450</v>
      </c>
      <c r="V8" s="46">
        <f t="shared" si="11"/>
        <v>162187.5</v>
      </c>
      <c r="W8" s="46">
        <f t="shared" si="11"/>
        <v>167925</v>
      </c>
      <c r="X8" s="46">
        <f t="shared" si="11"/>
        <v>173662.5</v>
      </c>
      <c r="Y8" s="46">
        <f t="shared" si="11"/>
        <v>179400</v>
      </c>
      <c r="Z8" s="46">
        <f t="shared" si="11"/>
        <v>185137.5</v>
      </c>
      <c r="AA8" s="46">
        <f t="shared" si="11"/>
        <v>190875</v>
      </c>
      <c r="AB8" s="46">
        <f t="shared" si="11"/>
        <v>196612.5</v>
      </c>
      <c r="AD8" s="45" t="s">
        <v>4</v>
      </c>
      <c r="AE8" s="46">
        <f>+'Option 1, Step 1'!Q9*35%</f>
        <v>64556.956636398914</v>
      </c>
      <c r="AF8" s="46">
        <f t="shared" ref="AF8:AP8" si="12">+AE8*R8/Q8</f>
        <v>67331.455053637401</v>
      </c>
      <c r="AG8" s="46">
        <f t="shared" si="12"/>
        <v>70105.953470875902</v>
      </c>
      <c r="AH8" s="46">
        <f t="shared" si="12"/>
        <v>72880.451888114389</v>
      </c>
      <c r="AI8" s="46">
        <f t="shared" si="12"/>
        <v>75654.95030535289</v>
      </c>
      <c r="AJ8" s="46">
        <f t="shared" si="12"/>
        <v>78429.448722591376</v>
      </c>
      <c r="AK8" s="46">
        <f t="shared" si="12"/>
        <v>81203.947139829877</v>
      </c>
      <c r="AL8" s="46">
        <f t="shared" si="12"/>
        <v>83978.445557068364</v>
      </c>
      <c r="AM8" s="46">
        <f t="shared" si="12"/>
        <v>86752.943974306851</v>
      </c>
      <c r="AN8" s="46">
        <f t="shared" si="12"/>
        <v>89527.442391545337</v>
      </c>
      <c r="AO8" s="46">
        <f t="shared" si="12"/>
        <v>92301.940808783824</v>
      </c>
      <c r="AP8" s="46">
        <f t="shared" si="12"/>
        <v>95076.43922602231</v>
      </c>
    </row>
    <row r="9" spans="1:42" x14ac:dyDescent="0.2">
      <c r="A9" s="146" t="s">
        <v>5</v>
      </c>
      <c r="B9" s="90">
        <f>+'Option 1, Step 1'!Q10-AE9+'Option 4, Step 1'!Q9-P9</f>
        <v>2403430.7278726455</v>
      </c>
      <c r="C9" s="90">
        <f>+'Option 1, Step 1'!R10-AF9+'Option 4, Step 1'!R9-Q9</f>
        <v>2446135.1256284341</v>
      </c>
      <c r="D9" s="90">
        <f>+'Option 1, Step 1'!S10-AG9+'Option 4, Step 1'!S9-R9</f>
        <v>2264465.3334669517</v>
      </c>
      <c r="E9" s="90">
        <f>+'Option 1, Step 1'!T10-AH9+'Option 4, Step 1'!T9-S9</f>
        <v>2567524.2852016659</v>
      </c>
      <c r="F9" s="90">
        <f>+'Option 1, Step 1'!U10-AI9+'Option 4, Step 1'!U9-T9</f>
        <v>2776459.4063672693</v>
      </c>
      <c r="G9" s="90">
        <f>+'Option 1, Step 1'!V10-AJ9+'Option 4, Step 1'!V9-U9</f>
        <v>2984478.5131424763</v>
      </c>
      <c r="H9" s="90">
        <f>+'Option 1, Step 1'!W10-AK9+'Option 4, Step 1'!W9-V9</f>
        <v>3188962.2415727982</v>
      </c>
      <c r="I9" s="90">
        <f>+'Option 1, Step 1'!X10-AL9+'Option 4, Step 1'!X9-W9</f>
        <v>3204277.0021658135</v>
      </c>
      <c r="J9" s="90">
        <f>+'Option 1, Step 1'!Y10-AM9+'Option 4, Step 1'!Y9-X9</f>
        <v>3218816.246722525</v>
      </c>
      <c r="K9" s="90">
        <f>+'Option 1, Step 1'!Z10-AN9+'Option 4, Step 1'!Z9-Y9</f>
        <v>3233309.6955969068</v>
      </c>
      <c r="L9" s="90">
        <f>+'Option 1, Step 1'!AA10-AO9+'Option 4, Step 1'!AA9-Z9</f>
        <v>3249012.8764195871</v>
      </c>
      <c r="M9" s="147">
        <f>+'Option 1, Step 1'!AB10-AP9+'Option 4, Step 1'!AB9-AA9</f>
        <v>3264903.1938065607</v>
      </c>
      <c r="O9" s="45" t="s">
        <v>5</v>
      </c>
      <c r="P9" s="46">
        <v>831700</v>
      </c>
      <c r="Q9" s="46">
        <v>693900</v>
      </c>
      <c r="R9" s="46">
        <f t="shared" ref="R9:AB9" si="13">+Q9+($Q9-$P9)/8</f>
        <v>676675</v>
      </c>
      <c r="S9" s="46">
        <f t="shared" si="13"/>
        <v>659450</v>
      </c>
      <c r="T9" s="46">
        <f t="shared" si="13"/>
        <v>642225</v>
      </c>
      <c r="U9" s="46">
        <f t="shared" si="13"/>
        <v>625000</v>
      </c>
      <c r="V9" s="46">
        <f t="shared" si="13"/>
        <v>607775</v>
      </c>
      <c r="W9" s="46">
        <f t="shared" si="13"/>
        <v>590550</v>
      </c>
      <c r="X9" s="46">
        <f t="shared" si="13"/>
        <v>573325</v>
      </c>
      <c r="Y9" s="46">
        <f t="shared" si="13"/>
        <v>556100</v>
      </c>
      <c r="Z9" s="46">
        <f t="shared" si="13"/>
        <v>538875</v>
      </c>
      <c r="AA9" s="46">
        <f t="shared" si="13"/>
        <v>521650</v>
      </c>
      <c r="AB9" s="46">
        <f t="shared" si="13"/>
        <v>504425</v>
      </c>
      <c r="AD9" s="45" t="s">
        <v>5</v>
      </c>
      <c r="AE9" s="46">
        <f>+'Option 1, Step 1'!Q10*35%</f>
        <v>761453.93039296288</v>
      </c>
      <c r="AF9" s="46">
        <f t="shared" ref="AF9:AP9" si="14">+AE9*R9/Q9</f>
        <v>742552.00799633691</v>
      </c>
      <c r="AG9" s="46">
        <f t="shared" si="14"/>
        <v>723650.08559971093</v>
      </c>
      <c r="AH9" s="46">
        <f t="shared" si="14"/>
        <v>704748.16320308496</v>
      </c>
      <c r="AI9" s="46">
        <f t="shared" si="14"/>
        <v>685846.24080645898</v>
      </c>
      <c r="AJ9" s="46">
        <f t="shared" si="14"/>
        <v>666944.31840983301</v>
      </c>
      <c r="AK9" s="46">
        <f t="shared" si="14"/>
        <v>648042.39601320704</v>
      </c>
      <c r="AL9" s="46">
        <f t="shared" si="14"/>
        <v>629140.47361658106</v>
      </c>
      <c r="AM9" s="46">
        <f t="shared" si="14"/>
        <v>610238.55121995509</v>
      </c>
      <c r="AN9" s="46">
        <f t="shared" si="14"/>
        <v>591336.62882332911</v>
      </c>
      <c r="AO9" s="46">
        <f t="shared" si="14"/>
        <v>572434.70642670314</v>
      </c>
      <c r="AP9" s="46">
        <f t="shared" si="14"/>
        <v>553532.78403007716</v>
      </c>
    </row>
    <row r="10" spans="1:42" x14ac:dyDescent="0.2">
      <c r="A10" s="146" t="s">
        <v>6</v>
      </c>
      <c r="B10" s="90">
        <f>+'Option 1, Step 1'!Q11-AE10+'Option 4, Step 1'!Q10-P10</f>
        <v>168696.17482606598</v>
      </c>
      <c r="C10" s="90">
        <f>+'Option 1, Step 1'!R11-AF10+'Option 4, Step 1'!R10-Q10</f>
        <v>156383.00332794533</v>
      </c>
      <c r="D10" s="90">
        <f>+'Option 1, Step 1'!S11-AG10+'Option 4, Step 1'!S10-R10</f>
        <v>139805.79705782424</v>
      </c>
      <c r="E10" s="90">
        <f>+'Option 1, Step 1'!T11-AH10+'Option 4, Step 1'!T10-S10</f>
        <v>157471.46849109913</v>
      </c>
      <c r="F10" s="90">
        <f>+'Option 1, Step 1'!U11-AI10+'Option 4, Step 1'!U10-T10</f>
        <v>169131.60439618878</v>
      </c>
      <c r="G10" s="90">
        <f>+'Option 1, Step 1'!V11-AJ10+'Option 4, Step 1'!V10-U10</f>
        <v>181092.38038664567</v>
      </c>
      <c r="H10" s="90">
        <f>+'Option 1, Step 1'!W11-AK10+'Option 4, Step 1'!W10-V10</f>
        <v>193351.76961989628</v>
      </c>
      <c r="I10" s="90">
        <f>+'Option 1, Step 1'!X11-AL10+'Option 4, Step 1'!X10-W10</f>
        <v>193079.98633971205</v>
      </c>
      <c r="J10" s="90">
        <f>+'Option 1, Step 1'!Y11-AM10+'Option 4, Step 1'!Y10-X10</f>
        <v>192846.56066038657</v>
      </c>
      <c r="K10" s="90">
        <f>+'Option 1, Step 1'!Z11-AN10+'Option 4, Step 1'!Z10-Y10</f>
        <v>192561.20123272398</v>
      </c>
      <c r="L10" s="90">
        <f>+'Option 1, Step 1'!AA11-AO10+'Option 4, Step 1'!AA10-Z10</f>
        <v>192275.57011443481</v>
      </c>
      <c r="M10" s="147">
        <f>+'Option 1, Step 1'!AB11-AP10+'Option 4, Step 1'!AB10-AA10</f>
        <v>191973.45528419642</v>
      </c>
      <c r="O10" s="45" t="s">
        <v>6</v>
      </c>
      <c r="P10" s="46">
        <v>32700.000000000004</v>
      </c>
      <c r="Q10" s="46">
        <v>36300</v>
      </c>
      <c r="R10" s="46">
        <f t="shared" ref="R10:AB10" si="15">+Q10+($Q10-$P10)/8</f>
        <v>36750</v>
      </c>
      <c r="S10" s="46">
        <f t="shared" si="15"/>
        <v>37200</v>
      </c>
      <c r="T10" s="46">
        <f t="shared" si="15"/>
        <v>37650</v>
      </c>
      <c r="U10" s="46">
        <f t="shared" si="15"/>
        <v>38100</v>
      </c>
      <c r="V10" s="46">
        <f t="shared" si="15"/>
        <v>38550</v>
      </c>
      <c r="W10" s="46">
        <f t="shared" si="15"/>
        <v>39000</v>
      </c>
      <c r="X10" s="46">
        <f t="shared" si="15"/>
        <v>39450</v>
      </c>
      <c r="Y10" s="46">
        <f t="shared" si="15"/>
        <v>39900</v>
      </c>
      <c r="Z10" s="46">
        <f t="shared" si="15"/>
        <v>40350</v>
      </c>
      <c r="AA10" s="46">
        <f t="shared" si="15"/>
        <v>40800</v>
      </c>
      <c r="AB10" s="46">
        <f t="shared" si="15"/>
        <v>41250</v>
      </c>
      <c r="AD10" s="45" t="s">
        <v>6</v>
      </c>
      <c r="AE10" s="46">
        <f>+'Option 1, Step 1'!Q11*35%</f>
        <v>52336.401829420131</v>
      </c>
      <c r="AF10" s="46">
        <f t="shared" ref="AF10:AP10" si="16">+AE10*R10/Q10</f>
        <v>52985.200199206331</v>
      </c>
      <c r="AG10" s="46">
        <f t="shared" si="16"/>
        <v>53633.998568992531</v>
      </c>
      <c r="AH10" s="46">
        <f t="shared" si="16"/>
        <v>54282.796938778731</v>
      </c>
      <c r="AI10" s="46">
        <f t="shared" si="16"/>
        <v>54931.595308564931</v>
      </c>
      <c r="AJ10" s="46">
        <f t="shared" si="16"/>
        <v>55580.393678351131</v>
      </c>
      <c r="AK10" s="46">
        <f t="shared" si="16"/>
        <v>56229.192048137331</v>
      </c>
      <c r="AL10" s="46">
        <f t="shared" si="16"/>
        <v>56877.990417923538</v>
      </c>
      <c r="AM10" s="46">
        <f t="shared" si="16"/>
        <v>57526.788787709731</v>
      </c>
      <c r="AN10" s="46">
        <f t="shared" si="16"/>
        <v>58175.587157495938</v>
      </c>
      <c r="AO10" s="46">
        <f t="shared" si="16"/>
        <v>58824.385527282131</v>
      </c>
      <c r="AP10" s="46">
        <f t="shared" si="16"/>
        <v>59473.183897068338</v>
      </c>
    </row>
    <row r="11" spans="1:42" x14ac:dyDescent="0.2">
      <c r="A11" s="146" t="s">
        <v>7</v>
      </c>
      <c r="B11" s="90">
        <f>+'Option 1, Step 1'!Q12-AE11+'Option 4, Step 1'!Q11-P11</f>
        <v>49747.57594850794</v>
      </c>
      <c r="C11" s="90">
        <f>+'Option 1, Step 1'!R12-AF11+'Option 4, Step 1'!R11-Q11</f>
        <v>48619.77865742358</v>
      </c>
      <c r="D11" s="90">
        <f>+'Option 1, Step 1'!S12-AG11+'Option 4, Step 1'!S11-R11</f>
        <v>49296.810908442829</v>
      </c>
      <c r="E11" s="90">
        <f>+'Option 1, Step 1'!T12-AH11+'Option 4, Step 1'!T11-S11</f>
        <v>53737.942609826743</v>
      </c>
      <c r="F11" s="90">
        <f>+'Option 1, Step 1'!U12-AI11+'Option 4, Step 1'!U11-T11</f>
        <v>56479.897717016167</v>
      </c>
      <c r="G11" s="90">
        <f>+'Option 1, Step 1'!V12-AJ11+'Option 4, Step 1'!V11-U11</f>
        <v>59228.961414105273</v>
      </c>
      <c r="H11" s="90">
        <f>+'Option 1, Step 1'!W12-AK11+'Option 4, Step 1'!W11-V11</f>
        <v>61936.676836680344</v>
      </c>
      <c r="I11" s="90">
        <f>+'Option 1, Step 1'!X12-AL11+'Option 4, Step 1'!X11-W11</f>
        <v>61310.648027532414</v>
      </c>
      <c r="J11" s="90">
        <f>+'Option 1, Step 1'!Y12-AM11+'Option 4, Step 1'!Y11-X11</f>
        <v>60651.050397609681</v>
      </c>
      <c r="K11" s="90">
        <f>+'Option 1, Step 1'!Z12-AN11+'Option 4, Step 1'!Z11-Y11</f>
        <v>60004.48202415726</v>
      </c>
      <c r="L11" s="90">
        <f>+'Option 1, Step 1'!AA12-AO11+'Option 4, Step 1'!AA11-Z11</f>
        <v>59390.553501998133</v>
      </c>
      <c r="M11" s="147">
        <f>+'Option 1, Step 1'!AB12-AP11+'Option 4, Step 1'!AB11-AA11</f>
        <v>58726.506612611658</v>
      </c>
      <c r="O11" s="45" t="s">
        <v>7</v>
      </c>
      <c r="P11" s="46">
        <v>4500</v>
      </c>
      <c r="Q11" s="46">
        <v>8600</v>
      </c>
      <c r="R11" s="46">
        <f t="shared" ref="R11:AB11" si="17">+Q11+($Q11-$P11)/8</f>
        <v>9112.5</v>
      </c>
      <c r="S11" s="46">
        <f t="shared" si="17"/>
        <v>9625</v>
      </c>
      <c r="T11" s="46">
        <f t="shared" si="17"/>
        <v>10137.5</v>
      </c>
      <c r="U11" s="46">
        <f t="shared" si="17"/>
        <v>10650</v>
      </c>
      <c r="V11" s="46">
        <f t="shared" si="17"/>
        <v>11162.5</v>
      </c>
      <c r="W11" s="46">
        <f t="shared" si="17"/>
        <v>11675</v>
      </c>
      <c r="X11" s="46">
        <f t="shared" si="17"/>
        <v>12187.5</v>
      </c>
      <c r="Y11" s="46">
        <f t="shared" si="17"/>
        <v>12700</v>
      </c>
      <c r="Z11" s="46">
        <f t="shared" si="17"/>
        <v>13212.5</v>
      </c>
      <c r="AA11" s="46">
        <f t="shared" si="17"/>
        <v>13725</v>
      </c>
      <c r="AB11" s="46">
        <f t="shared" si="17"/>
        <v>14237.5</v>
      </c>
      <c r="AD11" s="45" t="s">
        <v>7</v>
      </c>
      <c r="AE11" s="46">
        <f>+'Option 1, Step 1'!Q12*35%</f>
        <v>10471.771664581196</v>
      </c>
      <c r="AF11" s="46">
        <f t="shared" ref="AF11:AP11" si="18">+AE11*R11/Q11</f>
        <v>11095.816196918156</v>
      </c>
      <c r="AG11" s="46">
        <f t="shared" si="18"/>
        <v>11719.860729255117</v>
      </c>
      <c r="AH11" s="46">
        <f t="shared" si="18"/>
        <v>12343.905261592077</v>
      </c>
      <c r="AI11" s="46">
        <f t="shared" si="18"/>
        <v>12967.949793929038</v>
      </c>
      <c r="AJ11" s="46">
        <f t="shared" si="18"/>
        <v>13591.994326265996</v>
      </c>
      <c r="AK11" s="46">
        <f t="shared" si="18"/>
        <v>14216.038858602957</v>
      </c>
      <c r="AL11" s="46">
        <f t="shared" si="18"/>
        <v>14840.083390939917</v>
      </c>
      <c r="AM11" s="46">
        <f t="shared" si="18"/>
        <v>15464.127923276877</v>
      </c>
      <c r="AN11" s="46">
        <f t="shared" si="18"/>
        <v>16088.172455613838</v>
      </c>
      <c r="AO11" s="46">
        <f t="shared" si="18"/>
        <v>16712.2169879508</v>
      </c>
      <c r="AP11" s="46">
        <f t="shared" si="18"/>
        <v>17336.261520287761</v>
      </c>
    </row>
    <row r="12" spans="1:42" x14ac:dyDescent="0.2">
      <c r="A12" s="146" t="s">
        <v>8</v>
      </c>
      <c r="B12" s="90">
        <f>+'Option 1, Step 1'!Q13-AE12+'Option 4, Step 1'!Q12-P12</f>
        <v>2289971.8906341093</v>
      </c>
      <c r="C12" s="90">
        <f>+'Option 1, Step 1'!R13-AF12+'Option 4, Step 1'!R12-Q12</f>
        <v>2297162.1156734377</v>
      </c>
      <c r="D12" s="90">
        <f>+'Option 1, Step 1'!S13-AG12+'Option 4, Step 1'!S12-R12</f>
        <v>2322968.63860483</v>
      </c>
      <c r="E12" s="90">
        <f>+'Option 1, Step 1'!T13-AH12+'Option 4, Step 1'!T12-S12</f>
        <v>2635386.4991209237</v>
      </c>
      <c r="F12" s="90">
        <f>+'Option 1, Step 1'!U13-AI12+'Option 4, Step 1'!U12-T12</f>
        <v>2841587.6815069281</v>
      </c>
      <c r="G12" s="90">
        <f>+'Option 1, Step 1'!V13-AJ12+'Option 4, Step 1'!V12-U12</f>
        <v>3046767.2622045977</v>
      </c>
      <c r="H12" s="90">
        <f>+'Option 1, Step 1'!W13-AK12+'Option 4, Step 1'!W12-V12</f>
        <v>3254031.8886969341</v>
      </c>
      <c r="I12" s="90">
        <f>+'Option 1, Step 1'!X13-AL12+'Option 4, Step 1'!X12-W12</f>
        <v>3240664.6541677229</v>
      </c>
      <c r="J12" s="90">
        <f>+'Option 1, Step 1'!Y13-AM12+'Option 4, Step 1'!Y12-X12</f>
        <v>3226286.0529064424</v>
      </c>
      <c r="K12" s="90">
        <f>+'Option 1, Step 1'!Z13-AN12+'Option 4, Step 1'!Z12-Y12</f>
        <v>3208338.8912706822</v>
      </c>
      <c r="L12" s="90">
        <f>+'Option 1, Step 1'!AA13-AO12+'Option 4, Step 1'!AA12-Z12</f>
        <v>3189687.334730973</v>
      </c>
      <c r="M12" s="147">
        <f>+'Option 1, Step 1'!AB13-AP12+'Option 4, Step 1'!AB12-AA12</f>
        <v>3172803.7476000842</v>
      </c>
      <c r="O12" s="45" t="s">
        <v>8</v>
      </c>
      <c r="P12" s="46">
        <v>280400</v>
      </c>
      <c r="Q12" s="46">
        <v>432500</v>
      </c>
      <c r="R12" s="46">
        <f t="shared" ref="R12:AB12" si="19">+Q12+($Q12-$P12)/8</f>
        <v>451512.5</v>
      </c>
      <c r="S12" s="46">
        <f t="shared" si="19"/>
        <v>470525</v>
      </c>
      <c r="T12" s="46">
        <f t="shared" si="19"/>
        <v>489537.5</v>
      </c>
      <c r="U12" s="46">
        <f t="shared" si="19"/>
        <v>508550</v>
      </c>
      <c r="V12" s="46">
        <f t="shared" si="19"/>
        <v>527562.5</v>
      </c>
      <c r="W12" s="46">
        <f t="shared" si="19"/>
        <v>546575</v>
      </c>
      <c r="X12" s="46">
        <f t="shared" si="19"/>
        <v>565587.5</v>
      </c>
      <c r="Y12" s="46">
        <f t="shared" si="19"/>
        <v>584600</v>
      </c>
      <c r="Z12" s="46">
        <f t="shared" si="19"/>
        <v>603612.5</v>
      </c>
      <c r="AA12" s="46">
        <f t="shared" si="19"/>
        <v>622625</v>
      </c>
      <c r="AB12" s="46">
        <f t="shared" si="19"/>
        <v>641637.5</v>
      </c>
      <c r="AD12" s="45" t="s">
        <v>8</v>
      </c>
      <c r="AE12" s="46">
        <f>+'Option 1, Step 1'!Q13*35%</f>
        <v>681714.8641875973</v>
      </c>
      <c r="AF12" s="46">
        <f t="shared" ref="AF12:AP12" si="20">+AE12*R12/Q12</f>
        <v>711682.73437341617</v>
      </c>
      <c r="AG12" s="46">
        <f t="shared" si="20"/>
        <v>741650.60455923504</v>
      </c>
      <c r="AH12" s="46">
        <f t="shared" si="20"/>
        <v>771618.47474505391</v>
      </c>
      <c r="AI12" s="46">
        <f t="shared" si="20"/>
        <v>801586.3449308729</v>
      </c>
      <c r="AJ12" s="46">
        <f t="shared" si="20"/>
        <v>831554.21511669178</v>
      </c>
      <c r="AK12" s="46">
        <f t="shared" si="20"/>
        <v>861522.08530251076</v>
      </c>
      <c r="AL12" s="46">
        <f t="shared" si="20"/>
        <v>891489.95548832975</v>
      </c>
      <c r="AM12" s="46">
        <f t="shared" si="20"/>
        <v>921457.82567414874</v>
      </c>
      <c r="AN12" s="46">
        <f t="shared" si="20"/>
        <v>951425.69585996761</v>
      </c>
      <c r="AO12" s="46">
        <f t="shared" si="20"/>
        <v>981393.5660457866</v>
      </c>
      <c r="AP12" s="46">
        <f t="shared" si="20"/>
        <v>1011361.4362316055</v>
      </c>
    </row>
    <row r="13" spans="1:42" x14ac:dyDescent="0.2">
      <c r="A13" s="146" t="s">
        <v>9</v>
      </c>
      <c r="B13" s="90">
        <f>+'Option 1, Step 1'!Q14-AE13+'Option 4, Step 1'!Q13-P13</f>
        <v>220967.26150832407</v>
      </c>
      <c r="C13" s="90">
        <f>+'Option 1, Step 1'!R14-AF13+'Option 4, Step 1'!R13-Q13</f>
        <v>268574.58563719003</v>
      </c>
      <c r="D13" s="90">
        <f>+'Option 1, Step 1'!S14-AG13+'Option 4, Step 1'!S13-R13</f>
        <v>318797.86800533335</v>
      </c>
      <c r="E13" s="90">
        <f>+'Option 1, Step 1'!T14-AH13+'Option 4, Step 1'!T13-S13</f>
        <v>352113.38156253408</v>
      </c>
      <c r="F13" s="90">
        <f>+'Option 1, Step 1'!U14-AI13+'Option 4, Step 1'!U13-T13</f>
        <v>373593.60914237646</v>
      </c>
      <c r="G13" s="90">
        <f>+'Option 1, Step 1'!V14-AJ13+'Option 4, Step 1'!V13-U13</f>
        <v>395071.57258114556</v>
      </c>
      <c r="H13" s="90">
        <f>+'Option 1, Step 1'!W14-AK13+'Option 4, Step 1'!W13-V13</f>
        <v>416654.75108719675</v>
      </c>
      <c r="I13" s="90">
        <f>+'Option 1, Step 1'!X14-AL13+'Option 4, Step 1'!X13-W13</f>
        <v>414719.92638647003</v>
      </c>
      <c r="J13" s="90">
        <f>+'Option 1, Step 1'!Y14-AM13+'Option 4, Step 1'!Y13-X13</f>
        <v>412896.24831256189</v>
      </c>
      <c r="K13" s="90">
        <f>+'Option 1, Step 1'!Z14-AN13+'Option 4, Step 1'!Z13-Y13</f>
        <v>411131.70210072107</v>
      </c>
      <c r="L13" s="90">
        <f>+'Option 1, Step 1'!AA14-AO13+'Option 4, Step 1'!AA13-Z13</f>
        <v>409674.27096559486</v>
      </c>
      <c r="M13" s="147">
        <f>+'Option 1, Step 1'!AB14-AP13+'Option 4, Step 1'!AB13-AA13</f>
        <v>408297.11203705129</v>
      </c>
      <c r="O13" s="45" t="s">
        <v>9</v>
      </c>
      <c r="P13" s="46">
        <v>37800</v>
      </c>
      <c r="Q13" s="46">
        <v>52400</v>
      </c>
      <c r="R13" s="46">
        <f t="shared" ref="R13:AB13" si="21">+Q13+($Q13-$P13)/8</f>
        <v>54225</v>
      </c>
      <c r="S13" s="46">
        <f t="shared" si="21"/>
        <v>56050</v>
      </c>
      <c r="T13" s="46">
        <f t="shared" si="21"/>
        <v>57875</v>
      </c>
      <c r="U13" s="46">
        <f t="shared" si="21"/>
        <v>59700</v>
      </c>
      <c r="V13" s="46">
        <f t="shared" si="21"/>
        <v>61525</v>
      </c>
      <c r="W13" s="46">
        <f t="shared" si="21"/>
        <v>63350</v>
      </c>
      <c r="X13" s="46">
        <f t="shared" si="21"/>
        <v>65175</v>
      </c>
      <c r="Y13" s="46">
        <f t="shared" si="21"/>
        <v>67000</v>
      </c>
      <c r="Z13" s="46">
        <f t="shared" si="21"/>
        <v>68825</v>
      </c>
      <c r="AA13" s="46">
        <f t="shared" si="21"/>
        <v>70650</v>
      </c>
      <c r="AB13" s="46">
        <f t="shared" si="21"/>
        <v>72475</v>
      </c>
      <c r="AD13" s="45" t="s">
        <v>9</v>
      </c>
      <c r="AE13" s="46">
        <f>+'Option 1, Step 1'!Q14*35%</f>
        <v>43549.294658328341</v>
      </c>
      <c r="AF13" s="46">
        <f t="shared" ref="AF13:AP13" si="22">+AE13*R13/Q13</f>
        <v>45066.04013068424</v>
      </c>
      <c r="AG13" s="46">
        <f t="shared" si="22"/>
        <v>46582.785603040138</v>
      </c>
      <c r="AH13" s="46">
        <f t="shared" si="22"/>
        <v>48099.531075396037</v>
      </c>
      <c r="AI13" s="46">
        <f t="shared" si="22"/>
        <v>49616.276547751935</v>
      </c>
      <c r="AJ13" s="46">
        <f t="shared" si="22"/>
        <v>51133.022020107834</v>
      </c>
      <c r="AK13" s="46">
        <f t="shared" si="22"/>
        <v>52649.767492463732</v>
      </c>
      <c r="AL13" s="46">
        <f t="shared" si="22"/>
        <v>54166.512964819638</v>
      </c>
      <c r="AM13" s="46">
        <f t="shared" si="22"/>
        <v>55683.258437175537</v>
      </c>
      <c r="AN13" s="46">
        <f t="shared" si="22"/>
        <v>57200.003909531435</v>
      </c>
      <c r="AO13" s="46">
        <f t="shared" si="22"/>
        <v>58716.749381887334</v>
      </c>
      <c r="AP13" s="46">
        <f t="shared" si="22"/>
        <v>60233.494854243232</v>
      </c>
    </row>
    <row r="14" spans="1:42" x14ac:dyDescent="0.2">
      <c r="A14" s="146" t="s">
        <v>10</v>
      </c>
      <c r="B14" s="90">
        <f>+'Option 1, Step 1'!Q15-AE14+'Option 4, Step 1'!Q14-P14</f>
        <v>2022456.4774184749</v>
      </c>
      <c r="C14" s="90">
        <f>+'Option 1, Step 1'!R15-AF14+'Option 4, Step 1'!R14-Q14</f>
        <v>1893608.4810842918</v>
      </c>
      <c r="D14" s="90">
        <f>+'Option 1, Step 1'!S15-AG14+'Option 4, Step 1'!S14-R14</f>
        <v>1900019.1575512332</v>
      </c>
      <c r="E14" s="90">
        <f>+'Option 1, Step 1'!T15-AH14+'Option 4, Step 1'!T14-S14</f>
        <v>2104536.1262995265</v>
      </c>
      <c r="F14" s="90">
        <f>+'Option 1, Step 1'!U15-AI14+'Option 4, Step 1'!U14-T14</f>
        <v>2233832.3598922677</v>
      </c>
      <c r="G14" s="90">
        <f>+'Option 1, Step 1'!V15-AJ14+'Option 4, Step 1'!V14-U14</f>
        <v>2364402.4369383212</v>
      </c>
      <c r="H14" s="90">
        <f>+'Option 1, Step 1'!W15-AK14+'Option 4, Step 1'!W14-V14</f>
        <v>2496768.6849943413</v>
      </c>
      <c r="I14" s="90">
        <f>+'Option 1, Step 1'!X15-AL14+'Option 4, Step 1'!X14-W14</f>
        <v>2474512.9304195652</v>
      </c>
      <c r="J14" s="90">
        <f>+'Option 1, Step 1'!Y15-AM14+'Option 4, Step 1'!Y14-X14</f>
        <v>2452964.4303727327</v>
      </c>
      <c r="K14" s="90">
        <f>+'Option 1, Step 1'!Z15-AN14+'Option 4, Step 1'!Z14-Y14</f>
        <v>2431624.1768535338</v>
      </c>
      <c r="L14" s="90">
        <f>+'Option 1, Step 1'!AA15-AO14+'Option 4, Step 1'!AA14-Z14</f>
        <v>2411671.1676615328</v>
      </c>
      <c r="M14" s="147">
        <f>+'Option 1, Step 1'!AB15-AP14+'Option 4, Step 1'!AB14-AA14</f>
        <v>2391916.2554970453</v>
      </c>
      <c r="O14" s="45" t="s">
        <v>10</v>
      </c>
      <c r="P14" s="46">
        <v>359800</v>
      </c>
      <c r="Q14" s="46">
        <v>604300</v>
      </c>
      <c r="R14" s="46">
        <f t="shared" ref="R14:AB14" si="23">+Q14+($Q14-$P14)/8</f>
        <v>634862.5</v>
      </c>
      <c r="S14" s="46">
        <f t="shared" si="23"/>
        <v>665425</v>
      </c>
      <c r="T14" s="46">
        <f t="shared" si="23"/>
        <v>695987.5</v>
      </c>
      <c r="U14" s="46">
        <f t="shared" si="23"/>
        <v>726550</v>
      </c>
      <c r="V14" s="46">
        <f t="shared" si="23"/>
        <v>757112.5</v>
      </c>
      <c r="W14" s="46">
        <f t="shared" si="23"/>
        <v>787675</v>
      </c>
      <c r="X14" s="46">
        <f t="shared" si="23"/>
        <v>818237.5</v>
      </c>
      <c r="Y14" s="46">
        <f t="shared" si="23"/>
        <v>848800</v>
      </c>
      <c r="Z14" s="46">
        <f t="shared" si="23"/>
        <v>879362.5</v>
      </c>
      <c r="AA14" s="46">
        <f t="shared" si="23"/>
        <v>909925</v>
      </c>
      <c r="AB14" s="46">
        <f t="shared" si="23"/>
        <v>940487.5</v>
      </c>
      <c r="AD14" s="45" t="s">
        <v>10</v>
      </c>
      <c r="AE14" s="46">
        <f>+'Option 1, Step 1'!Q15*35%</f>
        <v>485399.64168687089</v>
      </c>
      <c r="AF14" s="46">
        <f t="shared" ref="AF14:AP14" si="24">+AE14*R14/Q14</f>
        <v>509948.7506543622</v>
      </c>
      <c r="AG14" s="46">
        <f t="shared" si="24"/>
        <v>534497.85962185345</v>
      </c>
      <c r="AH14" s="46">
        <f t="shared" si="24"/>
        <v>559046.96858934476</v>
      </c>
      <c r="AI14" s="46">
        <f t="shared" si="24"/>
        <v>583596.07755683607</v>
      </c>
      <c r="AJ14" s="46">
        <f t="shared" si="24"/>
        <v>608145.18652432738</v>
      </c>
      <c r="AK14" s="46">
        <f t="shared" si="24"/>
        <v>632694.29549181869</v>
      </c>
      <c r="AL14" s="46">
        <f t="shared" si="24"/>
        <v>657243.40445931</v>
      </c>
      <c r="AM14" s="46">
        <f t="shared" si="24"/>
        <v>681792.51342680131</v>
      </c>
      <c r="AN14" s="46">
        <f t="shared" si="24"/>
        <v>706341.6223942925</v>
      </c>
      <c r="AO14" s="46">
        <f t="shared" si="24"/>
        <v>730890.73136178381</v>
      </c>
      <c r="AP14" s="46">
        <f t="shared" si="24"/>
        <v>755439.840329275</v>
      </c>
    </row>
    <row r="15" spans="1:42" x14ac:dyDescent="0.2">
      <c r="A15" s="146" t="s">
        <v>11</v>
      </c>
      <c r="B15" s="90">
        <f>+'Option 1, Step 1'!Q16-AE15+'Option 4, Step 1'!Q15-P15</f>
        <v>431918.55875092349</v>
      </c>
      <c r="C15" s="90">
        <f>+'Option 1, Step 1'!R16-AF15+'Option 4, Step 1'!R15-Q15</f>
        <v>458994.36304792808</v>
      </c>
      <c r="D15" s="90">
        <f>+'Option 1, Step 1'!S16-AG15+'Option 4, Step 1'!S15-R15</f>
        <v>470895.58468495822</v>
      </c>
      <c r="E15" s="90">
        <f>+'Option 1, Step 1'!T16-AH15+'Option 4, Step 1'!T15-S15</f>
        <v>516767.42280248413</v>
      </c>
      <c r="F15" s="90">
        <f>+'Option 1, Step 1'!U16-AI15+'Option 4, Step 1'!U15-T15</f>
        <v>546941.29361527925</v>
      </c>
      <c r="G15" s="90">
        <f>+'Option 1, Step 1'!V16-AJ15+'Option 4, Step 1'!V15-U15</f>
        <v>577183.24488463928</v>
      </c>
      <c r="H15" s="90">
        <f>+'Option 1, Step 1'!W16-AK15+'Option 4, Step 1'!W15-V15</f>
        <v>607397.73159762041</v>
      </c>
      <c r="I15" s="90">
        <f>+'Option 1, Step 1'!X16-AL15+'Option 4, Step 1'!X15-W15</f>
        <v>606082.83412860287</v>
      </c>
      <c r="J15" s="90">
        <f>+'Option 1, Step 1'!Y16-AM15+'Option 4, Step 1'!Y15-X15</f>
        <v>604821.73606348084</v>
      </c>
      <c r="K15" s="90">
        <f>+'Option 1, Step 1'!Z16-AN15+'Option 4, Step 1'!Z15-Y15</f>
        <v>603921.53490139288</v>
      </c>
      <c r="L15" s="90">
        <f>+'Option 1, Step 1'!AA16-AO15+'Option 4, Step 1'!AA15-Z15</f>
        <v>602928.86668376147</v>
      </c>
      <c r="M15" s="147">
        <f>+'Option 1, Step 1'!AB16-AP15+'Option 4, Step 1'!AB15-AA15</f>
        <v>601793.38660979515</v>
      </c>
      <c r="O15" s="45" t="s">
        <v>11</v>
      </c>
      <c r="P15" s="46">
        <v>143100</v>
      </c>
      <c r="Q15" s="46">
        <v>144600</v>
      </c>
      <c r="R15" s="46">
        <f t="shared" ref="R15:AB15" si="25">+Q15+($Q15-$P15)/8</f>
        <v>144787.5</v>
      </c>
      <c r="S15" s="46">
        <f t="shared" si="25"/>
        <v>144975</v>
      </c>
      <c r="T15" s="46">
        <f t="shared" si="25"/>
        <v>145162.5</v>
      </c>
      <c r="U15" s="46">
        <f t="shared" si="25"/>
        <v>145350</v>
      </c>
      <c r="V15" s="46">
        <f t="shared" si="25"/>
        <v>145537.5</v>
      </c>
      <c r="W15" s="46">
        <f t="shared" si="25"/>
        <v>145725</v>
      </c>
      <c r="X15" s="46">
        <f t="shared" si="25"/>
        <v>145912.5</v>
      </c>
      <c r="Y15" s="46">
        <f t="shared" si="25"/>
        <v>146100</v>
      </c>
      <c r="Z15" s="46">
        <f t="shared" si="25"/>
        <v>146287.5</v>
      </c>
      <c r="AA15" s="46">
        <f t="shared" si="25"/>
        <v>146475</v>
      </c>
      <c r="AB15" s="46">
        <f t="shared" si="25"/>
        <v>146662.5</v>
      </c>
      <c r="AD15" s="45" t="s">
        <v>11</v>
      </c>
      <c r="AE15" s="46">
        <f>+'Option 1, Step 1'!Q16*35%</f>
        <v>96745.147019728072</v>
      </c>
      <c r="AF15" s="46">
        <f t="shared" ref="AF15:AP15" si="26">+AE15*R15/Q15</f>
        <v>96870.594565137464</v>
      </c>
      <c r="AG15" s="46">
        <f t="shared" si="26"/>
        <v>96996.042110546856</v>
      </c>
      <c r="AH15" s="46">
        <f t="shared" si="26"/>
        <v>97121.489655956248</v>
      </c>
      <c r="AI15" s="46">
        <f t="shared" si="26"/>
        <v>97246.937201365639</v>
      </c>
      <c r="AJ15" s="46">
        <f t="shared" si="26"/>
        <v>97372.384746775046</v>
      </c>
      <c r="AK15" s="46">
        <f t="shared" si="26"/>
        <v>97497.832292184437</v>
      </c>
      <c r="AL15" s="46">
        <f t="shared" si="26"/>
        <v>97623.279837593844</v>
      </c>
      <c r="AM15" s="46">
        <f t="shared" si="26"/>
        <v>97748.72738300325</v>
      </c>
      <c r="AN15" s="46">
        <f t="shared" si="26"/>
        <v>97874.174928412656</v>
      </c>
      <c r="AO15" s="46">
        <f t="shared" si="26"/>
        <v>97999.622473822063</v>
      </c>
      <c r="AP15" s="46">
        <f t="shared" si="26"/>
        <v>98125.070019231469</v>
      </c>
    </row>
    <row r="16" spans="1:42" x14ac:dyDescent="0.2">
      <c r="A16" s="146" t="s">
        <v>26</v>
      </c>
      <c r="B16" s="90">
        <f>+'Option 1, Step 1'!Q17-AE16+'Option 4, Step 1'!Q16-P16</f>
        <v>92345.791016567222</v>
      </c>
      <c r="C16" s="90">
        <f>+'Option 1, Step 1'!R17-AF16+'Option 4, Step 1'!R16-Q16</f>
        <v>104538.45160437547</v>
      </c>
      <c r="D16" s="90">
        <f>+'Option 1, Step 1'!S17-AG16+'Option 4, Step 1'!S16-R16</f>
        <v>110003.43287262938</v>
      </c>
      <c r="E16" s="90">
        <f>+'Option 1, Step 1'!T17-AH16+'Option 4, Step 1'!T16-S16</f>
        <v>124623.87674269849</v>
      </c>
      <c r="F16" s="90">
        <f>+'Option 1, Step 1'!U17-AI16+'Option 4, Step 1'!U16-T16</f>
        <v>134405.01120649566</v>
      </c>
      <c r="G16" s="90">
        <f>+'Option 1, Step 1'!V17-AJ16+'Option 4, Step 1'!V16-U16</f>
        <v>144207.81925680238</v>
      </c>
      <c r="H16" s="90">
        <f>+'Option 1, Step 1'!W17-AK16+'Option 4, Step 1'!W16-V16</f>
        <v>153754.81997736212</v>
      </c>
      <c r="I16" s="90">
        <f>+'Option 1, Step 1'!X17-AL16+'Option 4, Step 1'!X16-W16</f>
        <v>153931.65950240404</v>
      </c>
      <c r="J16" s="90">
        <f>+'Option 1, Step 1'!Y17-AM16+'Option 4, Step 1'!Y16-X16</f>
        <v>154216.39712724558</v>
      </c>
      <c r="K16" s="90">
        <f>+'Option 1, Step 1'!Z17-AN16+'Option 4, Step 1'!Z16-Y16</f>
        <v>154450.0748458555</v>
      </c>
      <c r="L16" s="90">
        <f>+'Option 1, Step 1'!AA17-AO16+'Option 4, Step 1'!AA16-Z16</f>
        <v>154642.97037460245</v>
      </c>
      <c r="M16" s="147">
        <f>+'Option 1, Step 1'!AB17-AP16+'Option 4, Step 1'!AB16-AA16</f>
        <v>154778.47506979684</v>
      </c>
      <c r="O16" s="45" t="s">
        <v>26</v>
      </c>
      <c r="P16" s="46">
        <v>9100</v>
      </c>
      <c r="Q16" s="46">
        <v>7000</v>
      </c>
      <c r="R16" s="46">
        <f t="shared" ref="R16:AB16" si="27">+Q16+($Q16-$P16)/8</f>
        <v>6737.5</v>
      </c>
      <c r="S16" s="46">
        <f t="shared" si="27"/>
        <v>6475</v>
      </c>
      <c r="T16" s="46">
        <f t="shared" si="27"/>
        <v>6212.5</v>
      </c>
      <c r="U16" s="46">
        <f t="shared" si="27"/>
        <v>5950</v>
      </c>
      <c r="V16" s="46">
        <f t="shared" si="27"/>
        <v>5687.5</v>
      </c>
      <c r="W16" s="46">
        <f t="shared" si="27"/>
        <v>5425</v>
      </c>
      <c r="X16" s="46">
        <f t="shared" si="27"/>
        <v>5162.5</v>
      </c>
      <c r="Y16" s="46">
        <f t="shared" si="27"/>
        <v>4900</v>
      </c>
      <c r="Z16" s="46">
        <f t="shared" si="27"/>
        <v>4637.5</v>
      </c>
      <c r="AA16" s="46">
        <f t="shared" si="27"/>
        <v>4375</v>
      </c>
      <c r="AB16" s="46">
        <f t="shared" si="27"/>
        <v>4112.5</v>
      </c>
      <c r="AD16" s="45" t="s">
        <v>26</v>
      </c>
      <c r="AE16" s="46">
        <f>+'Option 1, Step 1'!Q17*35%</f>
        <v>28509.272085843884</v>
      </c>
      <c r="AF16" s="46">
        <f t="shared" ref="AF16:AP16" si="28">+AE16*R16/Q16</f>
        <v>27440.174382624737</v>
      </c>
      <c r="AG16" s="46">
        <f t="shared" si="28"/>
        <v>26371.076679405593</v>
      </c>
      <c r="AH16" s="46">
        <f t="shared" si="28"/>
        <v>25301.978976186445</v>
      </c>
      <c r="AI16" s="46">
        <f t="shared" si="28"/>
        <v>24232.881272967297</v>
      </c>
      <c r="AJ16" s="46">
        <f t="shared" si="28"/>
        <v>23163.78356974815</v>
      </c>
      <c r="AK16" s="46">
        <f t="shared" si="28"/>
        <v>22094.685866529002</v>
      </c>
      <c r="AL16" s="46">
        <f t="shared" si="28"/>
        <v>21025.588163309854</v>
      </c>
      <c r="AM16" s="46">
        <f t="shared" si="28"/>
        <v>19956.49046009071</v>
      </c>
      <c r="AN16" s="46">
        <f t="shared" si="28"/>
        <v>18887.392756871566</v>
      </c>
      <c r="AO16" s="46">
        <f t="shared" si="28"/>
        <v>17818.295053652422</v>
      </c>
      <c r="AP16" s="46">
        <f t="shared" si="28"/>
        <v>16749.197350433278</v>
      </c>
    </row>
    <row r="17" spans="1:42" x14ac:dyDescent="0.2">
      <c r="A17" s="146" t="s">
        <v>12</v>
      </c>
      <c r="B17" s="90">
        <f>+'Option 1, Step 1'!Q18-AE17+'Option 4, Step 1'!Q17-P17</f>
        <v>325646.96844793402</v>
      </c>
      <c r="C17" s="90">
        <f>+'Option 1, Step 1'!R18-AF17+'Option 4, Step 1'!R17-Q17</f>
        <v>373050.10836059373</v>
      </c>
      <c r="D17" s="90">
        <f>+'Option 1, Step 1'!S18-AG17+'Option 4, Step 1'!S17-R17</f>
        <v>437063.70429021266</v>
      </c>
      <c r="E17" s="90">
        <f>+'Option 1, Step 1'!T18-AH17+'Option 4, Step 1'!T17-S17</f>
        <v>493726.54778944096</v>
      </c>
      <c r="F17" s="90">
        <f>+'Option 1, Step 1'!U18-AI17+'Option 4, Step 1'!U17-T17</f>
        <v>528468.40856895992</v>
      </c>
      <c r="G17" s="90">
        <f>+'Option 1, Step 1'!V18-AJ17+'Option 4, Step 1'!V17-U17</f>
        <v>563328.78422473359</v>
      </c>
      <c r="H17" s="90">
        <f>+'Option 1, Step 1'!W18-AK17+'Option 4, Step 1'!W17-V17</f>
        <v>598216.80464641866</v>
      </c>
      <c r="I17" s="90">
        <f>+'Option 1, Step 1'!X18-AL17+'Option 4, Step 1'!X17-W17</f>
        <v>590535.00023572799</v>
      </c>
      <c r="J17" s="90">
        <f>+'Option 1, Step 1'!Y18-AM17+'Option 4, Step 1'!Y17-X17</f>
        <v>582875.77445563651</v>
      </c>
      <c r="K17" s="90">
        <f>+'Option 1, Step 1'!Z18-AN17+'Option 4, Step 1'!Z17-Y17</f>
        <v>575409.26925601694</v>
      </c>
      <c r="L17" s="90">
        <f>+'Option 1, Step 1'!AA18-AO17+'Option 4, Step 1'!AA17-Z17</f>
        <v>566616.26160886558</v>
      </c>
      <c r="M17" s="147">
        <f>+'Option 1, Step 1'!AB18-AP17+'Option 4, Step 1'!AB17-AA17</f>
        <v>557299.23531391856</v>
      </c>
      <c r="O17" s="45" t="s">
        <v>12</v>
      </c>
      <c r="P17" s="46">
        <v>38500</v>
      </c>
      <c r="Q17" s="46">
        <v>78000</v>
      </c>
      <c r="R17" s="46">
        <f t="shared" ref="R17:AB17" si="29">+Q17+($Q17-$P17)/8</f>
        <v>82937.5</v>
      </c>
      <c r="S17" s="46">
        <f t="shared" si="29"/>
        <v>87875</v>
      </c>
      <c r="T17" s="46">
        <f t="shared" si="29"/>
        <v>92812.5</v>
      </c>
      <c r="U17" s="46">
        <f t="shared" si="29"/>
        <v>97750</v>
      </c>
      <c r="V17" s="46">
        <f t="shared" si="29"/>
        <v>102687.5</v>
      </c>
      <c r="W17" s="46">
        <f t="shared" si="29"/>
        <v>107625</v>
      </c>
      <c r="X17" s="46">
        <f t="shared" si="29"/>
        <v>112562.5</v>
      </c>
      <c r="Y17" s="46">
        <f t="shared" si="29"/>
        <v>117500</v>
      </c>
      <c r="Z17" s="46">
        <f t="shared" si="29"/>
        <v>122437.5</v>
      </c>
      <c r="AA17" s="46">
        <f t="shared" si="29"/>
        <v>127375</v>
      </c>
      <c r="AB17" s="46">
        <f t="shared" si="29"/>
        <v>132312.5</v>
      </c>
      <c r="AD17" s="45" t="s">
        <v>12</v>
      </c>
      <c r="AE17" s="46">
        <f>+'Option 1, Step 1'!Q18*35%</f>
        <v>91563.752241195252</v>
      </c>
      <c r="AF17" s="46">
        <f t="shared" ref="AF17:AP17" si="30">+AE17*R17/Q17</f>
        <v>97359.855147488866</v>
      </c>
      <c r="AG17" s="46">
        <f t="shared" si="30"/>
        <v>103155.95805378247</v>
      </c>
      <c r="AH17" s="46">
        <f t="shared" si="30"/>
        <v>108952.06096007608</v>
      </c>
      <c r="AI17" s="46">
        <f t="shared" si="30"/>
        <v>114748.16386636969</v>
      </c>
      <c r="AJ17" s="46">
        <f t="shared" si="30"/>
        <v>120544.26677266331</v>
      </c>
      <c r="AK17" s="46">
        <f t="shared" si="30"/>
        <v>126340.36967895692</v>
      </c>
      <c r="AL17" s="46">
        <f t="shared" si="30"/>
        <v>132136.47258525054</v>
      </c>
      <c r="AM17" s="46">
        <f t="shared" si="30"/>
        <v>137932.57549154415</v>
      </c>
      <c r="AN17" s="46">
        <f t="shared" si="30"/>
        <v>143728.67839783776</v>
      </c>
      <c r="AO17" s="46">
        <f t="shared" si="30"/>
        <v>149524.78130413135</v>
      </c>
      <c r="AP17" s="46">
        <f t="shared" si="30"/>
        <v>155320.88421042496</v>
      </c>
    </row>
    <row r="18" spans="1:42" x14ac:dyDescent="0.2">
      <c r="A18" s="146" t="s">
        <v>13</v>
      </c>
      <c r="B18" s="90">
        <f>+'Option 1, Step 1'!Q19-AE18+'Option 4, Step 1'!Q18-P18</f>
        <v>190695.33760319496</v>
      </c>
      <c r="C18" s="90">
        <f>+'Option 1, Step 1'!R19-AF18+'Option 4, Step 1'!R18-Q18</f>
        <v>171343.74580062693</v>
      </c>
      <c r="D18" s="90">
        <f>+'Option 1, Step 1'!S19-AG18+'Option 4, Step 1'!S18-R18</f>
        <v>148043.2487093684</v>
      </c>
      <c r="E18" s="90">
        <f>+'Option 1, Step 1'!T19-AH18+'Option 4, Step 1'!T18-S18</f>
        <v>163487.64422254602</v>
      </c>
      <c r="F18" s="90">
        <f>+'Option 1, Step 1'!U19-AI18+'Option 4, Step 1'!U18-T18</f>
        <v>174433.64274707416</v>
      </c>
      <c r="G18" s="90">
        <f>+'Option 1, Step 1'!V19-AJ18+'Option 4, Step 1'!V18-U18</f>
        <v>185616.5846461872</v>
      </c>
      <c r="H18" s="90">
        <f>+'Option 1, Step 1'!W19-AK18+'Option 4, Step 1'!W18-V18</f>
        <v>197015.10480435769</v>
      </c>
      <c r="I18" s="90">
        <f>+'Option 1, Step 1'!X19-AL18+'Option 4, Step 1'!X18-W18</f>
        <v>198397.96640036814</v>
      </c>
      <c r="J18" s="90">
        <f>+'Option 1, Step 1'!Y19-AM18+'Option 4, Step 1'!Y18-X18</f>
        <v>199721.09555321658</v>
      </c>
      <c r="K18" s="90">
        <f>+'Option 1, Step 1'!Z19-AN18+'Option 4, Step 1'!Z18-Y18</f>
        <v>201042.06306639704</v>
      </c>
      <c r="L18" s="90">
        <f>+'Option 1, Step 1'!AA19-AO18+'Option 4, Step 1'!AA18-Z18</f>
        <v>202343.00038085948</v>
      </c>
      <c r="M18" s="147">
        <f>+'Option 1, Step 1'!AB19-AP18+'Option 4, Step 1'!AB18-AA18</f>
        <v>203623.78807789815</v>
      </c>
      <c r="O18" s="45" t="s">
        <v>13</v>
      </c>
      <c r="P18" s="46">
        <v>39900</v>
      </c>
      <c r="Q18" s="46">
        <v>43400</v>
      </c>
      <c r="R18" s="46">
        <f t="shared" ref="R18:AB18" si="31">+Q18+($Q18-$P18)/8</f>
        <v>43837.5</v>
      </c>
      <c r="S18" s="46">
        <f t="shared" si="31"/>
        <v>44275</v>
      </c>
      <c r="T18" s="46">
        <f t="shared" si="31"/>
        <v>44712.5</v>
      </c>
      <c r="U18" s="46">
        <f t="shared" si="31"/>
        <v>45150</v>
      </c>
      <c r="V18" s="46">
        <f t="shared" si="31"/>
        <v>45587.5</v>
      </c>
      <c r="W18" s="46">
        <f t="shared" si="31"/>
        <v>46025</v>
      </c>
      <c r="X18" s="46">
        <f t="shared" si="31"/>
        <v>46462.5</v>
      </c>
      <c r="Y18" s="46">
        <f t="shared" si="31"/>
        <v>46900</v>
      </c>
      <c r="Z18" s="46">
        <f t="shared" si="31"/>
        <v>47337.5</v>
      </c>
      <c r="AA18" s="46">
        <f t="shared" si="31"/>
        <v>47775</v>
      </c>
      <c r="AB18" s="46">
        <f t="shared" si="31"/>
        <v>48212.5</v>
      </c>
      <c r="AD18" s="45" t="s">
        <v>13</v>
      </c>
      <c r="AE18" s="46">
        <f>+'Option 1, Step 1'!Q19*35%</f>
        <v>47005.181786335743</v>
      </c>
      <c r="AF18" s="46">
        <f t="shared" ref="AF18:AP18" si="32">+AE18*R18/Q18</f>
        <v>47479.024344665741</v>
      </c>
      <c r="AG18" s="46">
        <f t="shared" si="32"/>
        <v>47952.866902995738</v>
      </c>
      <c r="AH18" s="46">
        <f t="shared" si="32"/>
        <v>48426.709461325736</v>
      </c>
      <c r="AI18" s="46">
        <f t="shared" si="32"/>
        <v>48900.552019655734</v>
      </c>
      <c r="AJ18" s="46">
        <f t="shared" si="32"/>
        <v>49374.394577985731</v>
      </c>
      <c r="AK18" s="46">
        <f t="shared" si="32"/>
        <v>49848.237136315729</v>
      </c>
      <c r="AL18" s="46">
        <f t="shared" si="32"/>
        <v>50322.079694645727</v>
      </c>
      <c r="AM18" s="46">
        <f t="shared" si="32"/>
        <v>50795.922252975724</v>
      </c>
      <c r="AN18" s="46">
        <f t="shared" si="32"/>
        <v>51269.764811305722</v>
      </c>
      <c r="AO18" s="46">
        <f t="shared" si="32"/>
        <v>51743.60736963572</v>
      </c>
      <c r="AP18" s="46">
        <f t="shared" si="32"/>
        <v>52217.449927965718</v>
      </c>
    </row>
    <row r="19" spans="1:42" x14ac:dyDescent="0.2">
      <c r="A19" s="146" t="s">
        <v>14</v>
      </c>
      <c r="B19" s="90">
        <f>+'Option 1, Step 1'!Q20-AE19+'Option 4, Step 1'!Q19-P19</f>
        <v>2896988.1577882296</v>
      </c>
      <c r="C19" s="90">
        <f>+'Option 1, Step 1'!R20-AF19+'Option 4, Step 1'!R19-Q19</f>
        <v>3079571.2404610328</v>
      </c>
      <c r="D19" s="90">
        <f>+'Option 1, Step 1'!S20-AG19+'Option 4, Step 1'!S19-R19</f>
        <v>3232362.4961788184</v>
      </c>
      <c r="E19" s="90">
        <f>+'Option 1, Step 1'!T20-AH19+'Option 4, Step 1'!T19-S19</f>
        <v>3531434.0166714685</v>
      </c>
      <c r="F19" s="90">
        <f>+'Option 1, Step 1'!U20-AI19+'Option 4, Step 1'!U19-T19</f>
        <v>3730466.8525316697</v>
      </c>
      <c r="G19" s="90">
        <f>+'Option 1, Step 1'!V20-AJ19+'Option 4, Step 1'!V19-U19</f>
        <v>3930685.8969301302</v>
      </c>
      <c r="H19" s="90">
        <f>+'Option 1, Step 1'!W20-AK19+'Option 4, Step 1'!W19-V19</f>
        <v>4134408.8657004219</v>
      </c>
      <c r="I19" s="90">
        <f>+'Option 1, Step 1'!X20-AL19+'Option 4, Step 1'!X19-W19</f>
        <v>4130505.3631193023</v>
      </c>
      <c r="J19" s="90">
        <f>+'Option 1, Step 1'!Y20-AM19+'Option 4, Step 1'!Y19-X19</f>
        <v>4126786.5334998649</v>
      </c>
      <c r="K19" s="90">
        <f>+'Option 1, Step 1'!Z20-AN19+'Option 4, Step 1'!Z19-Y19</f>
        <v>4123819.0997537514</v>
      </c>
      <c r="L19" s="90">
        <f>+'Option 1, Step 1'!AA20-AO19+'Option 4, Step 1'!AA19-Z19</f>
        <v>4119981.7975924741</v>
      </c>
      <c r="M19" s="147">
        <f>+'Option 1, Step 1'!AB20-AP19+'Option 4, Step 1'!AB19-AA19</f>
        <v>4115151.9130161675</v>
      </c>
      <c r="O19" s="45" t="s">
        <v>14</v>
      </c>
      <c r="P19" s="46">
        <v>721600</v>
      </c>
      <c r="Q19" s="46">
        <v>800800</v>
      </c>
      <c r="R19" s="46">
        <f t="shared" ref="R19:AB19" si="33">+Q19+($Q19-$P19)/8</f>
        <v>810700</v>
      </c>
      <c r="S19" s="46">
        <f t="shared" si="33"/>
        <v>820600</v>
      </c>
      <c r="T19" s="46">
        <f t="shared" si="33"/>
        <v>830500</v>
      </c>
      <c r="U19" s="46">
        <f t="shared" si="33"/>
        <v>840400</v>
      </c>
      <c r="V19" s="46">
        <f t="shared" si="33"/>
        <v>850300</v>
      </c>
      <c r="W19" s="46">
        <f t="shared" si="33"/>
        <v>860200</v>
      </c>
      <c r="X19" s="46">
        <f t="shared" si="33"/>
        <v>870100</v>
      </c>
      <c r="Y19" s="46">
        <f t="shared" si="33"/>
        <v>880000</v>
      </c>
      <c r="Z19" s="46">
        <f t="shared" si="33"/>
        <v>889900</v>
      </c>
      <c r="AA19" s="46">
        <f t="shared" si="33"/>
        <v>899800</v>
      </c>
      <c r="AB19" s="46">
        <f t="shared" si="33"/>
        <v>909700</v>
      </c>
      <c r="AD19" s="45" t="s">
        <v>14</v>
      </c>
      <c r="AE19" s="46">
        <f>+'Option 1, Step 1'!Q20*35%</f>
        <v>581058.23880904668</v>
      </c>
      <c r="AF19" s="46">
        <f t="shared" ref="AF19:AP19" si="34">+AE19*R19/Q19</f>
        <v>588241.65110201563</v>
      </c>
      <c r="AG19" s="46">
        <f t="shared" si="34"/>
        <v>595425.06339498458</v>
      </c>
      <c r="AH19" s="46">
        <f t="shared" si="34"/>
        <v>602608.47568795353</v>
      </c>
      <c r="AI19" s="46">
        <f t="shared" si="34"/>
        <v>609791.88798092247</v>
      </c>
      <c r="AJ19" s="46">
        <f t="shared" si="34"/>
        <v>616975.30027389154</v>
      </c>
      <c r="AK19" s="46">
        <f t="shared" si="34"/>
        <v>624158.71256686049</v>
      </c>
      <c r="AL19" s="46">
        <f t="shared" si="34"/>
        <v>631342.12485982943</v>
      </c>
      <c r="AM19" s="46">
        <f t="shared" si="34"/>
        <v>638525.53715279838</v>
      </c>
      <c r="AN19" s="46">
        <f t="shared" si="34"/>
        <v>645708.94944576733</v>
      </c>
      <c r="AO19" s="46">
        <f t="shared" si="34"/>
        <v>652892.36173873628</v>
      </c>
      <c r="AP19" s="46">
        <f t="shared" si="34"/>
        <v>660075.77403170522</v>
      </c>
    </row>
    <row r="20" spans="1:42" x14ac:dyDescent="0.2">
      <c r="A20" s="146" t="s">
        <v>15</v>
      </c>
      <c r="B20" s="90">
        <f>+'Option 1, Step 1'!Q21-AE20+'Option 4, Step 1'!Q20-P20</f>
        <v>104271.52394765095</v>
      </c>
      <c r="C20" s="90">
        <f>+'Option 1, Step 1'!R21-AF20+'Option 4, Step 1'!R20-Q20</f>
        <v>96032.839004568872</v>
      </c>
      <c r="D20" s="90">
        <f>+'Option 1, Step 1'!S21-AG20+'Option 4, Step 1'!S20-R20</f>
        <v>93896.688298475477</v>
      </c>
      <c r="E20" s="90">
        <f>+'Option 1, Step 1'!T21-AH20+'Option 4, Step 1'!T20-S20</f>
        <v>101309.23832193547</v>
      </c>
      <c r="F20" s="90">
        <f>+'Option 1, Step 1'!U21-AI20+'Option 4, Step 1'!U20-T20</f>
        <v>105297.64337197323</v>
      </c>
      <c r="G20" s="90">
        <f>+'Option 1, Step 1'!V21-AJ20+'Option 4, Step 1'!V20-U20</f>
        <v>108944.83649123294</v>
      </c>
      <c r="H20" s="90">
        <f>+'Option 1, Step 1'!W21-AK20+'Option 4, Step 1'!W20-V20</f>
        <v>112125.33261431099</v>
      </c>
      <c r="I20" s="90">
        <f>+'Option 1, Step 1'!X21-AL20+'Option 4, Step 1'!X20-W20</f>
        <v>109147.32232649735</v>
      </c>
      <c r="J20" s="90">
        <f>+'Option 1, Step 1'!Y21-AM20+'Option 4, Step 1'!Y20-X20</f>
        <v>106230.61084842135</v>
      </c>
      <c r="K20" s="90">
        <f>+'Option 1, Step 1'!Z21-AN20+'Option 4, Step 1'!Z20-Y20</f>
        <v>103440.07313187901</v>
      </c>
      <c r="L20" s="90">
        <f>+'Option 1, Step 1'!AA21-AO20+'Option 4, Step 1'!AA20-Z20</f>
        <v>100719.09714601329</v>
      </c>
      <c r="M20" s="147">
        <f>+'Option 1, Step 1'!AB21-AP20+'Option 4, Step 1'!AB20-AA20</f>
        <v>98005.765725362988</v>
      </c>
      <c r="O20" s="45" t="s">
        <v>15</v>
      </c>
      <c r="P20" s="46">
        <v>4099.9999999999091</v>
      </c>
      <c r="Q20" s="46">
        <v>15100</v>
      </c>
      <c r="R20" s="46">
        <f t="shared" ref="R20:AB20" si="35">+Q20+($Q20-$P20)/8</f>
        <v>16475.000000000011</v>
      </c>
      <c r="S20" s="46">
        <f t="shared" si="35"/>
        <v>17850.000000000022</v>
      </c>
      <c r="T20" s="46">
        <f t="shared" si="35"/>
        <v>19225.000000000033</v>
      </c>
      <c r="U20" s="46">
        <f t="shared" si="35"/>
        <v>20600.000000000044</v>
      </c>
      <c r="V20" s="46">
        <f t="shared" si="35"/>
        <v>21975.000000000055</v>
      </c>
      <c r="W20" s="46">
        <f t="shared" si="35"/>
        <v>23350.000000000065</v>
      </c>
      <c r="X20" s="46">
        <f t="shared" si="35"/>
        <v>24725.000000000076</v>
      </c>
      <c r="Y20" s="46">
        <f t="shared" si="35"/>
        <v>26100.000000000087</v>
      </c>
      <c r="Z20" s="46">
        <f t="shared" si="35"/>
        <v>27475.000000000098</v>
      </c>
      <c r="AA20" s="46">
        <f t="shared" si="35"/>
        <v>28850.000000000109</v>
      </c>
      <c r="AB20" s="46">
        <f t="shared" si="35"/>
        <v>30225.00000000012</v>
      </c>
      <c r="AD20" s="45" t="s">
        <v>15</v>
      </c>
      <c r="AE20" s="46">
        <f>+'Option 1, Step 1'!Q21*35%</f>
        <v>21361.589817965843</v>
      </c>
      <c r="AF20" s="46">
        <f t="shared" ref="AF20:AP20" si="36">+AE20*R20/Q20</f>
        <v>23306.767698740896</v>
      </c>
      <c r="AG20" s="46">
        <f t="shared" si="36"/>
        <v>25251.945579515948</v>
      </c>
      <c r="AH20" s="46">
        <f t="shared" si="36"/>
        <v>27197.123460291001</v>
      </c>
      <c r="AI20" s="46">
        <f t="shared" si="36"/>
        <v>29142.30134106605</v>
      </c>
      <c r="AJ20" s="46">
        <f t="shared" si="36"/>
        <v>31087.479221841102</v>
      </c>
      <c r="AK20" s="46">
        <f t="shared" si="36"/>
        <v>33032.657102616155</v>
      </c>
      <c r="AL20" s="46">
        <f t="shared" si="36"/>
        <v>34977.834983391207</v>
      </c>
      <c r="AM20" s="46">
        <f t="shared" si="36"/>
        <v>36923.01286416626</v>
      </c>
      <c r="AN20" s="46">
        <f t="shared" si="36"/>
        <v>38868.190744941312</v>
      </c>
      <c r="AO20" s="46">
        <f t="shared" si="36"/>
        <v>40813.368625716364</v>
      </c>
      <c r="AP20" s="46">
        <f t="shared" si="36"/>
        <v>42758.546506491417</v>
      </c>
    </row>
    <row r="21" spans="1:42" x14ac:dyDescent="0.2">
      <c r="A21" s="146" t="s">
        <v>16</v>
      </c>
      <c r="B21" s="90">
        <f>+'Option 1, Step 1'!Q22-AE21+'Option 4, Step 1'!Q21-P21</f>
        <v>17231.980529329987</v>
      </c>
      <c r="C21" s="90">
        <f>+'Option 1, Step 1'!R22-AF21+'Option 4, Step 1'!R21-Q21</f>
        <v>14871.489618289277</v>
      </c>
      <c r="D21" s="90">
        <f>+'Option 1, Step 1'!S22-AG21+'Option 4, Step 1'!S21-R21</f>
        <v>13221.033135795355</v>
      </c>
      <c r="E21" s="90">
        <f>+'Option 1, Step 1'!T22-AH21+'Option 4, Step 1'!T21-S21</f>
        <v>15400.499055841225</v>
      </c>
      <c r="F21" s="90">
        <f>+'Option 1, Step 1'!U22-AI21+'Option 4, Step 1'!U21-T21</f>
        <v>16903.669226152364</v>
      </c>
      <c r="G21" s="90">
        <f>+'Option 1, Step 1'!V22-AJ21+'Option 4, Step 1'!V21-U21</f>
        <v>18450.500346196131</v>
      </c>
      <c r="H21" s="90">
        <f>+'Option 1, Step 1'!W22-AK21+'Option 4, Step 1'!W21-V21</f>
        <v>20043.682936635792</v>
      </c>
      <c r="I21" s="90">
        <f>+'Option 1, Step 1'!X22-AL21+'Option 4, Step 1'!X21-W21</f>
        <v>20070.684123727464</v>
      </c>
      <c r="J21" s="90">
        <f>+'Option 1, Step 1'!Y22-AM21+'Option 4, Step 1'!Y21-X21</f>
        <v>20092.840208621765</v>
      </c>
      <c r="K21" s="90">
        <f>+'Option 1, Step 1'!Z22-AN21+'Option 4, Step 1'!Z21-Y21</f>
        <v>20100.091787161768</v>
      </c>
      <c r="L21" s="90">
        <f>+'Option 1, Step 1'!AA22-AO21+'Option 4, Step 1'!AA21-Z21</f>
        <v>20107.341868486004</v>
      </c>
      <c r="M21" s="147">
        <f>+'Option 1, Step 1'!AB22-AP21+'Option 4, Step 1'!AB21-AA21</f>
        <v>20103.17540078787</v>
      </c>
      <c r="O21" s="45" t="s">
        <v>16</v>
      </c>
      <c r="P21" s="46">
        <v>4700</v>
      </c>
      <c r="Q21" s="46">
        <v>6700</v>
      </c>
      <c r="R21" s="46">
        <f t="shared" ref="R21:AB21" si="37">+Q21+($Q21-$P21)/8</f>
        <v>6950</v>
      </c>
      <c r="S21" s="46">
        <f t="shared" si="37"/>
        <v>7200</v>
      </c>
      <c r="T21" s="46">
        <f t="shared" si="37"/>
        <v>7450</v>
      </c>
      <c r="U21" s="46">
        <f t="shared" si="37"/>
        <v>7700</v>
      </c>
      <c r="V21" s="46">
        <f t="shared" si="37"/>
        <v>7950</v>
      </c>
      <c r="W21" s="46">
        <f t="shared" si="37"/>
        <v>8200</v>
      </c>
      <c r="X21" s="46">
        <f t="shared" si="37"/>
        <v>8450</v>
      </c>
      <c r="Y21" s="46">
        <f t="shared" si="37"/>
        <v>8700</v>
      </c>
      <c r="Z21" s="46">
        <f t="shared" si="37"/>
        <v>8950</v>
      </c>
      <c r="AA21" s="46">
        <f t="shared" si="37"/>
        <v>9200</v>
      </c>
      <c r="AB21" s="46">
        <f t="shared" si="37"/>
        <v>9450</v>
      </c>
      <c r="AD21" s="45" t="s">
        <v>16</v>
      </c>
      <c r="AE21" s="46">
        <f>+'Option 1, Step 1'!Q22*35%</f>
        <v>5778.7587465623001</v>
      </c>
      <c r="AF21" s="46">
        <f t="shared" ref="AF21:AP21" si="38">+AE21*R21/Q21</f>
        <v>5994.3840729265648</v>
      </c>
      <c r="AG21" s="46">
        <f t="shared" si="38"/>
        <v>6210.0093992908296</v>
      </c>
      <c r="AH21" s="46">
        <f t="shared" si="38"/>
        <v>6425.6347256550944</v>
      </c>
      <c r="AI21" s="46">
        <f t="shared" si="38"/>
        <v>6641.26005201936</v>
      </c>
      <c r="AJ21" s="46">
        <f t="shared" si="38"/>
        <v>6856.8853783836257</v>
      </c>
      <c r="AK21" s="46">
        <f t="shared" si="38"/>
        <v>7072.5107047478914</v>
      </c>
      <c r="AL21" s="46">
        <f t="shared" si="38"/>
        <v>7288.1360311121571</v>
      </c>
      <c r="AM21" s="46">
        <f t="shared" si="38"/>
        <v>7503.7613574764218</v>
      </c>
      <c r="AN21" s="46">
        <f t="shared" si="38"/>
        <v>7719.3866838406866</v>
      </c>
      <c r="AO21" s="46">
        <f t="shared" si="38"/>
        <v>7935.0120102049523</v>
      </c>
      <c r="AP21" s="46">
        <f t="shared" si="38"/>
        <v>8150.637336569218</v>
      </c>
    </row>
    <row r="22" spans="1:42" x14ac:dyDescent="0.2">
      <c r="A22" s="146" t="s">
        <v>17</v>
      </c>
      <c r="B22" s="90">
        <f>+'Option 1, Step 1'!Q23-AE22+'Option 4, Step 1'!Q22-P22</f>
        <v>64943.391130882752</v>
      </c>
      <c r="C22" s="90">
        <f>+'Option 1, Step 1'!R23-AF22+'Option 4, Step 1'!R22-Q22</f>
        <v>74026.668405823046</v>
      </c>
      <c r="D22" s="90">
        <f>+'Option 1, Step 1'!S23-AG22+'Option 4, Step 1'!S22-R22</f>
        <v>82966.351720484963</v>
      </c>
      <c r="E22" s="90">
        <f>+'Option 1, Step 1'!T23-AH22+'Option 4, Step 1'!T22-S22</f>
        <v>92935.336004400728</v>
      </c>
      <c r="F22" s="90">
        <f>+'Option 1, Step 1'!U23-AI22+'Option 4, Step 1'!U22-T22</f>
        <v>98713.086461042403</v>
      </c>
      <c r="G22" s="90">
        <f>+'Option 1, Step 1'!V23-AJ22+'Option 4, Step 1'!V22-U22</f>
        <v>104266.55712915205</v>
      </c>
      <c r="H22" s="90">
        <f>+'Option 1, Step 1'!W23-AK22+'Option 4, Step 1'!W22-V22</f>
        <v>109470.55874604377</v>
      </c>
      <c r="I22" s="90">
        <f>+'Option 1, Step 1'!X23-AL22+'Option 4, Step 1'!X22-W22</f>
        <v>107579.09380085427</v>
      </c>
      <c r="J22" s="90">
        <f>+'Option 1, Step 1'!Y23-AM22+'Option 4, Step 1'!Y22-X22</f>
        <v>105690.25103918568</v>
      </c>
      <c r="K22" s="90">
        <f>+'Option 1, Step 1'!Z23-AN22+'Option 4, Step 1'!Z22-Y22</f>
        <v>103758.23749826121</v>
      </c>
      <c r="L22" s="90">
        <f>+'Option 1, Step 1'!AA23-AO22+'Option 4, Step 1'!AA22-Z22</f>
        <v>101783.54506926429</v>
      </c>
      <c r="M22" s="147">
        <f>+'Option 1, Step 1'!AB23-AP22+'Option 4, Step 1'!AB22-AA22</f>
        <v>99783.144705212428</v>
      </c>
      <c r="O22" s="45" t="s">
        <v>17</v>
      </c>
      <c r="P22" s="46">
        <v>7500</v>
      </c>
      <c r="Q22" s="46">
        <v>11400</v>
      </c>
      <c r="R22" s="46">
        <f t="shared" ref="R22:AB22" si="39">+Q22+($Q22-$P22)/8</f>
        <v>11887.5</v>
      </c>
      <c r="S22" s="46">
        <f t="shared" si="39"/>
        <v>12375</v>
      </c>
      <c r="T22" s="46">
        <f t="shared" si="39"/>
        <v>12862.5</v>
      </c>
      <c r="U22" s="46">
        <f t="shared" si="39"/>
        <v>13350</v>
      </c>
      <c r="V22" s="46">
        <f t="shared" si="39"/>
        <v>13837.5</v>
      </c>
      <c r="W22" s="46">
        <f t="shared" si="39"/>
        <v>14325</v>
      </c>
      <c r="X22" s="46">
        <f t="shared" si="39"/>
        <v>14812.5</v>
      </c>
      <c r="Y22" s="46">
        <f t="shared" si="39"/>
        <v>15300</v>
      </c>
      <c r="Z22" s="46">
        <f t="shared" si="39"/>
        <v>15787.5</v>
      </c>
      <c r="AA22" s="46">
        <f t="shared" si="39"/>
        <v>16275</v>
      </c>
      <c r="AB22" s="46">
        <f t="shared" si="39"/>
        <v>16762.5</v>
      </c>
      <c r="AD22" s="45" t="s">
        <v>17</v>
      </c>
      <c r="AE22" s="46">
        <f>+'Option 1, Step 1'!Q23*35%</f>
        <v>18600.28753201379</v>
      </c>
      <c r="AF22" s="46">
        <f t="shared" ref="AF22:AP22" si="40">+AE22*R22/Q22</f>
        <v>19395.694564632799</v>
      </c>
      <c r="AG22" s="46">
        <f t="shared" si="40"/>
        <v>20191.101597251811</v>
      </c>
      <c r="AH22" s="46">
        <f t="shared" si="40"/>
        <v>20986.508629870823</v>
      </c>
      <c r="AI22" s="46">
        <f t="shared" si="40"/>
        <v>21781.915662489831</v>
      </c>
      <c r="AJ22" s="46">
        <f t="shared" si="40"/>
        <v>22577.322695108844</v>
      </c>
      <c r="AK22" s="46">
        <f t="shared" si="40"/>
        <v>23372.729727727856</v>
      </c>
      <c r="AL22" s="46">
        <f t="shared" si="40"/>
        <v>24168.136760346864</v>
      </c>
      <c r="AM22" s="46">
        <f t="shared" si="40"/>
        <v>24963.543792965876</v>
      </c>
      <c r="AN22" s="46">
        <f t="shared" si="40"/>
        <v>25758.950825584885</v>
      </c>
      <c r="AO22" s="46">
        <f t="shared" si="40"/>
        <v>26554.357858203894</v>
      </c>
      <c r="AP22" s="46">
        <f t="shared" si="40"/>
        <v>27349.764890822902</v>
      </c>
    </row>
    <row r="23" spans="1:42" x14ac:dyDescent="0.2">
      <c r="A23" s="146" t="s">
        <v>18</v>
      </c>
      <c r="B23" s="90">
        <f>+'Option 1, Step 1'!Q24-AE23+'Option 4, Step 1'!Q23-P23</f>
        <v>27893.188335721352</v>
      </c>
      <c r="C23" s="90">
        <f>+'Option 1, Step 1'!R24-AF23+'Option 4, Step 1'!R23-Q23</f>
        <v>24372.170075725509</v>
      </c>
      <c r="D23" s="90">
        <f>+'Option 1, Step 1'!S24-AG23+'Option 4, Step 1'!S23-R23</f>
        <v>23374.73852644108</v>
      </c>
      <c r="E23" s="90">
        <f>+'Option 1, Step 1'!T24-AH23+'Option 4, Step 1'!T23-S23</f>
        <v>25275.053956857446</v>
      </c>
      <c r="F23" s="90">
        <f>+'Option 1, Step 1'!U24-AI23+'Option 4, Step 1'!U23-T23</f>
        <v>26482.025035150276</v>
      </c>
      <c r="G23" s="90">
        <f>+'Option 1, Step 1'!V24-AJ23+'Option 4, Step 1'!V23-U23</f>
        <v>27702.020682218397</v>
      </c>
      <c r="H23" s="90">
        <f>+'Option 1, Step 1'!W24-AK23+'Option 4, Step 1'!W23-V23</f>
        <v>28917.965049054088</v>
      </c>
      <c r="I23" s="90">
        <f>+'Option 1, Step 1'!X24-AL23+'Option 4, Step 1'!X23-W23</f>
        <v>28627.188640887434</v>
      </c>
      <c r="J23" s="90">
        <f>+'Option 1, Step 1'!Y24-AM23+'Option 4, Step 1'!Y23-X23</f>
        <v>28354.236704322771</v>
      </c>
      <c r="K23" s="90">
        <f>+'Option 1, Step 1'!Z24-AN23+'Option 4, Step 1'!Z23-Y23</f>
        <v>28088.975313093819</v>
      </c>
      <c r="L23" s="90">
        <f>+'Option 1, Step 1'!AA24-AO23+'Option 4, Step 1'!AA23-Z23</f>
        <v>27822.842965889897</v>
      </c>
      <c r="M23" s="147">
        <f>+'Option 1, Step 1'!AB24-AP23+'Option 4, Step 1'!AB23-AA23</f>
        <v>27575.148256009197</v>
      </c>
      <c r="O23" s="45" t="s">
        <v>18</v>
      </c>
      <c r="P23" s="46">
        <v>1100</v>
      </c>
      <c r="Q23" s="46">
        <v>4900</v>
      </c>
      <c r="R23" s="46">
        <f t="shared" ref="R23:AB23" si="41">+Q23+($Q23-$P23)/8</f>
        <v>5375</v>
      </c>
      <c r="S23" s="46">
        <f t="shared" si="41"/>
        <v>5850</v>
      </c>
      <c r="T23" s="46">
        <f t="shared" si="41"/>
        <v>6325</v>
      </c>
      <c r="U23" s="46">
        <f t="shared" si="41"/>
        <v>6800</v>
      </c>
      <c r="V23" s="46">
        <f t="shared" si="41"/>
        <v>7275</v>
      </c>
      <c r="W23" s="46">
        <f t="shared" si="41"/>
        <v>7750</v>
      </c>
      <c r="X23" s="46">
        <f t="shared" si="41"/>
        <v>8225</v>
      </c>
      <c r="Y23" s="46">
        <f t="shared" si="41"/>
        <v>8700</v>
      </c>
      <c r="Z23" s="46">
        <f t="shared" si="41"/>
        <v>9175</v>
      </c>
      <c r="AA23" s="46">
        <f t="shared" si="41"/>
        <v>9650</v>
      </c>
      <c r="AB23" s="46">
        <f t="shared" si="41"/>
        <v>10125</v>
      </c>
      <c r="AD23" s="45" t="s">
        <v>18</v>
      </c>
      <c r="AE23" s="46">
        <f>+'Option 1, Step 1'!Q24*35%</f>
        <v>4990.5629500038031</v>
      </c>
      <c r="AF23" s="46">
        <f t="shared" ref="AF23:AP23" si="42">+AE23*R23/Q23</f>
        <v>5474.3420114837636</v>
      </c>
      <c r="AG23" s="46">
        <f t="shared" si="42"/>
        <v>5958.1210729637241</v>
      </c>
      <c r="AH23" s="46">
        <f t="shared" si="42"/>
        <v>6441.9001344436856</v>
      </c>
      <c r="AI23" s="46">
        <f t="shared" si="42"/>
        <v>6925.6791959236461</v>
      </c>
      <c r="AJ23" s="46">
        <f t="shared" si="42"/>
        <v>7409.4582574036067</v>
      </c>
      <c r="AK23" s="46">
        <f t="shared" si="42"/>
        <v>7893.2373188835672</v>
      </c>
      <c r="AL23" s="46">
        <f t="shared" si="42"/>
        <v>8377.0163803635278</v>
      </c>
      <c r="AM23" s="46">
        <f t="shared" si="42"/>
        <v>8860.7954418434892</v>
      </c>
      <c r="AN23" s="46">
        <f t="shared" si="42"/>
        <v>9344.5745033234489</v>
      </c>
      <c r="AO23" s="46">
        <f t="shared" si="42"/>
        <v>9828.3535648034085</v>
      </c>
      <c r="AP23" s="46">
        <f t="shared" si="42"/>
        <v>10312.13262628337</v>
      </c>
    </row>
    <row r="24" spans="1:42" x14ac:dyDescent="0.2">
      <c r="A24" s="146" t="s">
        <v>19</v>
      </c>
      <c r="B24" s="90">
        <f>+'Option 1, Step 1'!Q25-AE24+'Option 4, Step 1'!Q24-P24</f>
        <v>1112949.6688006159</v>
      </c>
      <c r="C24" s="90">
        <f>+'Option 1, Step 1'!R25-AF24+'Option 4, Step 1'!R24-Q24</f>
        <v>1069969.1598456423</v>
      </c>
      <c r="D24" s="90">
        <f>+'Option 1, Step 1'!S25-AG24+'Option 4, Step 1'!S24-R24</f>
        <v>1087121.9405773061</v>
      </c>
      <c r="E24" s="90">
        <f>+'Option 1, Step 1'!T25-AH24+'Option 4, Step 1'!T24-S24</f>
        <v>1192892.7529382473</v>
      </c>
      <c r="F24" s="90">
        <f>+'Option 1, Step 1'!U25-AI24+'Option 4, Step 1'!U24-T24</f>
        <v>1261406.7250934409</v>
      </c>
      <c r="G24" s="90">
        <f>+'Option 1, Step 1'!V25-AJ24+'Option 4, Step 1'!V24-U24</f>
        <v>1330598.2402882397</v>
      </c>
      <c r="H24" s="90">
        <f>+'Option 1, Step 1'!W25-AK24+'Option 4, Step 1'!W24-V24</f>
        <v>1399934.9333018973</v>
      </c>
      <c r="I24" s="90">
        <f>+'Option 1, Step 1'!X25-AL24+'Option 4, Step 1'!X24-W24</f>
        <v>1392564.063776884</v>
      </c>
      <c r="J24" s="90">
        <f>+'Option 1, Step 1'!Y25-AM24+'Option 4, Step 1'!Y24-X24</f>
        <v>1385068.6364063935</v>
      </c>
      <c r="K24" s="90">
        <f>+'Option 1, Step 1'!Z25-AN24+'Option 4, Step 1'!Z24-Y24</f>
        <v>1377516.8180474439</v>
      </c>
      <c r="L24" s="90">
        <f>+'Option 1, Step 1'!AA25-AO24+'Option 4, Step 1'!AA24-Z24</f>
        <v>1370169.9161835369</v>
      </c>
      <c r="M24" s="147">
        <f>+'Option 1, Step 1'!AB25-AP24+'Option 4, Step 1'!AB24-AA24</f>
        <v>1363005.3338557272</v>
      </c>
      <c r="O24" s="45" t="s">
        <v>19</v>
      </c>
      <c r="P24" s="46">
        <v>275300</v>
      </c>
      <c r="Q24" s="46">
        <v>388500</v>
      </c>
      <c r="R24" s="46">
        <f t="shared" ref="R24:AB24" si="43">+Q24+($Q24-$P24)/8</f>
        <v>402650</v>
      </c>
      <c r="S24" s="46">
        <f t="shared" si="43"/>
        <v>416800</v>
      </c>
      <c r="T24" s="46">
        <f t="shared" si="43"/>
        <v>430950</v>
      </c>
      <c r="U24" s="46">
        <f t="shared" si="43"/>
        <v>445100</v>
      </c>
      <c r="V24" s="46">
        <f t="shared" si="43"/>
        <v>459250</v>
      </c>
      <c r="W24" s="46">
        <f t="shared" si="43"/>
        <v>473400</v>
      </c>
      <c r="X24" s="46">
        <f t="shared" si="43"/>
        <v>487550</v>
      </c>
      <c r="Y24" s="46">
        <f t="shared" si="43"/>
        <v>501700</v>
      </c>
      <c r="Z24" s="46">
        <f t="shared" si="43"/>
        <v>515850</v>
      </c>
      <c r="AA24" s="46">
        <f t="shared" si="43"/>
        <v>530000</v>
      </c>
      <c r="AB24" s="46">
        <f t="shared" si="43"/>
        <v>544150</v>
      </c>
      <c r="AD24" s="45" t="s">
        <v>19</v>
      </c>
      <c r="AE24" s="46">
        <f>+'Option 1, Step 1'!Q25*35%</f>
        <v>233869.82166187005</v>
      </c>
      <c r="AF24" s="46">
        <f t="shared" ref="AF24:AP24" si="44">+AE24*R24/Q24</f>
        <v>242387.8602114594</v>
      </c>
      <c r="AG24" s="46">
        <f t="shared" si="44"/>
        <v>250905.89876104874</v>
      </c>
      <c r="AH24" s="46">
        <f t="shared" si="44"/>
        <v>259423.93731063811</v>
      </c>
      <c r="AI24" s="46">
        <f t="shared" si="44"/>
        <v>267941.97586022748</v>
      </c>
      <c r="AJ24" s="46">
        <f t="shared" si="44"/>
        <v>276460.01440981682</v>
      </c>
      <c r="AK24" s="46">
        <f t="shared" si="44"/>
        <v>284978.05295940617</v>
      </c>
      <c r="AL24" s="46">
        <f t="shared" si="44"/>
        <v>293496.09150899557</v>
      </c>
      <c r="AM24" s="46">
        <f t="shared" si="44"/>
        <v>302014.13005858491</v>
      </c>
      <c r="AN24" s="46">
        <f t="shared" si="44"/>
        <v>310532.16860817431</v>
      </c>
      <c r="AO24" s="46">
        <f t="shared" si="44"/>
        <v>319050.20715776371</v>
      </c>
      <c r="AP24" s="46">
        <f t="shared" si="44"/>
        <v>327568.24570735305</v>
      </c>
    </row>
    <row r="25" spans="1:42" x14ac:dyDescent="0.2">
      <c r="A25" s="146" t="s">
        <v>20</v>
      </c>
      <c r="B25" s="90">
        <f>+'Option 1, Step 1'!Q26-AE25+'Option 4, Step 1'!Q25-P25</f>
        <v>1356745.7097831494</v>
      </c>
      <c r="C25" s="90">
        <f>+'Option 1, Step 1'!R26-AF25+'Option 4, Step 1'!R25-Q25</f>
        <v>1522139.6001488413</v>
      </c>
      <c r="D25" s="90">
        <f>+'Option 1, Step 1'!S26-AG25+'Option 4, Step 1'!S25-R25</f>
        <v>1791537.7678259076</v>
      </c>
      <c r="E25" s="90">
        <f>+'Option 1, Step 1'!T26-AH25+'Option 4, Step 1'!T25-S25</f>
        <v>1992373.4406633023</v>
      </c>
      <c r="F25" s="90">
        <f>+'Option 1, Step 1'!U26-AI25+'Option 4, Step 1'!U25-T25</f>
        <v>2115507.4192613568</v>
      </c>
      <c r="G25" s="90">
        <f>+'Option 1, Step 1'!V26-AJ25+'Option 4, Step 1'!V25-U25</f>
        <v>2237564.6934360322</v>
      </c>
      <c r="H25" s="90">
        <f>+'Option 1, Step 1'!W26-AK25+'Option 4, Step 1'!W25-V25</f>
        <v>2358716.2545144032</v>
      </c>
      <c r="I25" s="90">
        <f>+'Option 1, Step 1'!X26-AL25+'Option 4, Step 1'!X25-W25</f>
        <v>2331683.5106910132</v>
      </c>
      <c r="J25" s="90">
        <f>+'Option 1, Step 1'!Y26-AM25+'Option 4, Step 1'!Y25-X25</f>
        <v>2304473.5002357024</v>
      </c>
      <c r="K25" s="90">
        <f>+'Option 1, Step 1'!Z26-AN25+'Option 4, Step 1'!Z25-Y25</f>
        <v>2278109.1454001423</v>
      </c>
      <c r="L25" s="90">
        <f>+'Option 1, Step 1'!AA26-AO25+'Option 4, Step 1'!AA25-Z25</f>
        <v>2250613.471061992</v>
      </c>
      <c r="M25" s="147">
        <f>+'Option 1, Step 1'!AB26-AP25+'Option 4, Step 1'!AB25-AA25</f>
        <v>2222913.1331960848</v>
      </c>
      <c r="O25" s="45" t="s">
        <v>20</v>
      </c>
      <c r="P25" s="46">
        <v>193200</v>
      </c>
      <c r="Q25" s="46">
        <v>383400</v>
      </c>
      <c r="R25" s="46">
        <f t="shared" ref="R25:AB25" si="45">+Q25+($Q25-$P25)/8</f>
        <v>407175</v>
      </c>
      <c r="S25" s="46">
        <f t="shared" si="45"/>
        <v>430950</v>
      </c>
      <c r="T25" s="46">
        <f t="shared" si="45"/>
        <v>454725</v>
      </c>
      <c r="U25" s="46">
        <f t="shared" si="45"/>
        <v>478500</v>
      </c>
      <c r="V25" s="46">
        <f t="shared" si="45"/>
        <v>502275</v>
      </c>
      <c r="W25" s="46">
        <f t="shared" si="45"/>
        <v>526050</v>
      </c>
      <c r="X25" s="46">
        <f t="shared" si="45"/>
        <v>549825</v>
      </c>
      <c r="Y25" s="46">
        <f t="shared" si="45"/>
        <v>573600</v>
      </c>
      <c r="Z25" s="46">
        <f t="shared" si="45"/>
        <v>597375</v>
      </c>
      <c r="AA25" s="46">
        <f t="shared" si="45"/>
        <v>621150</v>
      </c>
      <c r="AB25" s="46">
        <f t="shared" si="45"/>
        <v>644925</v>
      </c>
      <c r="AD25" s="45" t="s">
        <v>20</v>
      </c>
      <c r="AE25" s="46">
        <f>+'Option 1, Step 1'!Q26*35%</f>
        <v>299032.30526784959</v>
      </c>
      <c r="AF25" s="46">
        <f t="shared" ref="AF25:AP25" si="46">+AE25*R25/Q25</f>
        <v>317575.58397870802</v>
      </c>
      <c r="AG25" s="46">
        <f t="shared" si="46"/>
        <v>336118.86268956645</v>
      </c>
      <c r="AH25" s="46">
        <f t="shared" si="46"/>
        <v>354662.14140042488</v>
      </c>
      <c r="AI25" s="46">
        <f t="shared" si="46"/>
        <v>373205.42011128331</v>
      </c>
      <c r="AJ25" s="46">
        <f t="shared" si="46"/>
        <v>391748.69882214174</v>
      </c>
      <c r="AK25" s="46">
        <f t="shared" si="46"/>
        <v>410291.97753300017</v>
      </c>
      <c r="AL25" s="46">
        <f t="shared" si="46"/>
        <v>428835.2562438586</v>
      </c>
      <c r="AM25" s="46">
        <f t="shared" si="46"/>
        <v>447378.53495471703</v>
      </c>
      <c r="AN25" s="46">
        <f t="shared" si="46"/>
        <v>465921.81366557546</v>
      </c>
      <c r="AO25" s="46">
        <f t="shared" si="46"/>
        <v>484465.09237643389</v>
      </c>
      <c r="AP25" s="46">
        <f t="shared" si="46"/>
        <v>503008.37108729233</v>
      </c>
    </row>
    <row r="26" spans="1:42" x14ac:dyDescent="0.2">
      <c r="A26" s="146" t="s">
        <v>21</v>
      </c>
      <c r="B26" s="90">
        <f>+'Option 1, Step 1'!Q27-AE26+'Option 4, Step 1'!Q26-P26</f>
        <v>423105.52177568903</v>
      </c>
      <c r="C26" s="90">
        <f>+'Option 1, Step 1'!R27-AF26+'Option 4, Step 1'!R26-Q26</f>
        <v>431609.93041833182</v>
      </c>
      <c r="D26" s="90">
        <f>+'Option 1, Step 1'!S27-AG26+'Option 4, Step 1'!S26-R26</f>
        <v>452660.19553150167</v>
      </c>
      <c r="E26" s="90">
        <f>+'Option 1, Step 1'!T27-AH26+'Option 4, Step 1'!T26-S26</f>
        <v>501396.59733086266</v>
      </c>
      <c r="F26" s="90">
        <f>+'Option 1, Step 1'!U27-AI26+'Option 4, Step 1'!U26-T26</f>
        <v>532166.13445637189</v>
      </c>
      <c r="G26" s="90">
        <f>+'Option 1, Step 1'!V27-AJ26+'Option 4, Step 1'!V26-U26</f>
        <v>562323.85696910496</v>
      </c>
      <c r="H26" s="90">
        <f>+'Option 1, Step 1'!W27-AK26+'Option 4, Step 1'!W26-V26</f>
        <v>592024.28235030314</v>
      </c>
      <c r="I26" s="90">
        <f>+'Option 1, Step 1'!X27-AL26+'Option 4, Step 1'!X26-W26</f>
        <v>585289.67994977476</v>
      </c>
      <c r="J26" s="90">
        <f>+'Option 1, Step 1'!Y27-AM26+'Option 4, Step 1'!Y26-X26</f>
        <v>578319.76833286905</v>
      </c>
      <c r="K26" s="90">
        <f>+'Option 1, Step 1'!Z27-AN26+'Option 4, Step 1'!Z26-Y26</f>
        <v>571305.20027397643</v>
      </c>
      <c r="L26" s="90">
        <f>+'Option 1, Step 1'!AA27-AO26+'Option 4, Step 1'!AA26-Z26</f>
        <v>564803.47389321483</v>
      </c>
      <c r="M26" s="147">
        <f>+'Option 1, Step 1'!AB27-AP26+'Option 4, Step 1'!AB26-AA26</f>
        <v>558238.01516922843</v>
      </c>
      <c r="O26" s="45" t="s">
        <v>21</v>
      </c>
      <c r="P26" s="46">
        <v>55000</v>
      </c>
      <c r="Q26" s="46">
        <v>90100</v>
      </c>
      <c r="R26" s="46">
        <f t="shared" ref="R26:AB26" si="47">+Q26+($Q26-$P26)/8</f>
        <v>94487.5</v>
      </c>
      <c r="S26" s="46">
        <f t="shared" si="47"/>
        <v>98875</v>
      </c>
      <c r="T26" s="46">
        <f t="shared" si="47"/>
        <v>103262.5</v>
      </c>
      <c r="U26" s="46">
        <f t="shared" si="47"/>
        <v>107650</v>
      </c>
      <c r="V26" s="46">
        <f t="shared" si="47"/>
        <v>112037.5</v>
      </c>
      <c r="W26" s="46">
        <f t="shared" si="47"/>
        <v>116425</v>
      </c>
      <c r="X26" s="46">
        <f t="shared" si="47"/>
        <v>120812.5</v>
      </c>
      <c r="Y26" s="46">
        <f t="shared" si="47"/>
        <v>125200</v>
      </c>
      <c r="Z26" s="46">
        <f t="shared" si="47"/>
        <v>129587.5</v>
      </c>
      <c r="AA26" s="46">
        <f t="shared" si="47"/>
        <v>133975</v>
      </c>
      <c r="AB26" s="46">
        <f t="shared" si="47"/>
        <v>138362.5</v>
      </c>
      <c r="AD26" s="45" t="s">
        <v>21</v>
      </c>
      <c r="AE26" s="46">
        <f>+'Option 1, Step 1'!Q27*35%</f>
        <v>101826.05018690946</v>
      </c>
      <c r="AF26" s="46">
        <f t="shared" ref="AF26:AP26" si="48">+AE26*R26/Q26</f>
        <v>106784.56067742074</v>
      </c>
      <c r="AG26" s="46">
        <f t="shared" si="48"/>
        <v>111743.07116793202</v>
      </c>
      <c r="AH26" s="46">
        <f t="shared" si="48"/>
        <v>116701.58165844329</v>
      </c>
      <c r="AI26" s="46">
        <f t="shared" si="48"/>
        <v>121660.09214895456</v>
      </c>
      <c r="AJ26" s="46">
        <f t="shared" si="48"/>
        <v>126618.60263946583</v>
      </c>
      <c r="AK26" s="46">
        <f t="shared" si="48"/>
        <v>131577.11312997708</v>
      </c>
      <c r="AL26" s="46">
        <f t="shared" si="48"/>
        <v>136535.62362048836</v>
      </c>
      <c r="AM26" s="46">
        <f t="shared" si="48"/>
        <v>141494.13411099964</v>
      </c>
      <c r="AN26" s="46">
        <f t="shared" si="48"/>
        <v>146452.6446015109</v>
      </c>
      <c r="AO26" s="46">
        <f t="shared" si="48"/>
        <v>151411.15509202218</v>
      </c>
      <c r="AP26" s="46">
        <f t="shared" si="48"/>
        <v>156369.66558253343</v>
      </c>
    </row>
    <row r="27" spans="1:42" x14ac:dyDescent="0.2">
      <c r="A27" s="146" t="s">
        <v>22</v>
      </c>
      <c r="B27" s="90">
        <f>+'Option 1, Step 1'!Q28-AE27+'Option 4, Step 1'!Q27-P27</f>
        <v>1149891.6366291991</v>
      </c>
      <c r="C27" s="90">
        <f>+'Option 1, Step 1'!R28-AF27+'Option 4, Step 1'!R27-Q27</f>
        <v>1208626.341887611</v>
      </c>
      <c r="D27" s="90">
        <f>+'Option 1, Step 1'!S28-AG27+'Option 4, Step 1'!S27-R27</f>
        <v>1248586.3348193979</v>
      </c>
      <c r="E27" s="90">
        <f>+'Option 1, Step 1'!T28-AH27+'Option 4, Step 1'!T27-S27</f>
        <v>1329248.6342319059</v>
      </c>
      <c r="F27" s="90">
        <f>+'Option 1, Step 1'!U28-AI27+'Option 4, Step 1'!U27-T27</f>
        <v>1378408.2561360965</v>
      </c>
      <c r="G27" s="90">
        <f>+'Option 1, Step 1'!V28-AJ27+'Option 4, Step 1'!V27-U27</f>
        <v>1426527.3137640343</v>
      </c>
      <c r="H27" s="90">
        <f>+'Option 1, Step 1'!W28-AK27+'Option 4, Step 1'!W27-V27</f>
        <v>1471265.0971746696</v>
      </c>
      <c r="I27" s="90">
        <f>+'Option 1, Step 1'!X28-AL27+'Option 4, Step 1'!X27-W27</f>
        <v>1456789.6947150335</v>
      </c>
      <c r="J27" s="90">
        <f>+'Option 1, Step 1'!Y28-AM27+'Option 4, Step 1'!Y27-X27</f>
        <v>1442633.9139466861</v>
      </c>
      <c r="K27" s="90">
        <f>+'Option 1, Step 1'!Z28-AN27+'Option 4, Step 1'!Z27-Y27</f>
        <v>1428874.5362548211</v>
      </c>
      <c r="L27" s="90">
        <f>+'Option 1, Step 1'!AA28-AO27+'Option 4, Step 1'!AA27-Z27</f>
        <v>1415172.686433515</v>
      </c>
      <c r="M27" s="147">
        <f>+'Option 1, Step 1'!AB28-AP27+'Option 4, Step 1'!AB27-AA27</f>
        <v>1400118.0266025318</v>
      </c>
      <c r="O27" s="45" t="s">
        <v>22</v>
      </c>
      <c r="P27" s="46">
        <v>25400</v>
      </c>
      <c r="Q27" s="46">
        <v>37700</v>
      </c>
      <c r="R27" s="46">
        <f t="shared" ref="R27:AB27" si="49">+Q27+($Q27-$P27)/8</f>
        <v>39237.5</v>
      </c>
      <c r="S27" s="46">
        <f t="shared" si="49"/>
        <v>40775</v>
      </c>
      <c r="T27" s="46">
        <f t="shared" si="49"/>
        <v>42312.5</v>
      </c>
      <c r="U27" s="46">
        <f t="shared" si="49"/>
        <v>43850</v>
      </c>
      <c r="V27" s="46">
        <f t="shared" si="49"/>
        <v>45387.5</v>
      </c>
      <c r="W27" s="46">
        <f t="shared" si="49"/>
        <v>46925</v>
      </c>
      <c r="X27" s="46">
        <f t="shared" si="49"/>
        <v>48462.5</v>
      </c>
      <c r="Y27" s="46">
        <f t="shared" si="49"/>
        <v>50000</v>
      </c>
      <c r="Z27" s="46">
        <f t="shared" si="49"/>
        <v>51537.5</v>
      </c>
      <c r="AA27" s="46">
        <f t="shared" si="49"/>
        <v>53075</v>
      </c>
      <c r="AB27" s="46">
        <f t="shared" si="49"/>
        <v>54612.5</v>
      </c>
      <c r="AD27" s="45" t="s">
        <v>22</v>
      </c>
      <c r="AE27" s="46">
        <f>+'Option 1, Step 1'!Q28*35%</f>
        <v>172168.57356956878</v>
      </c>
      <c r="AF27" s="46">
        <f t="shared" ref="AF27:AP27" si="50">+AE27*R27/Q27</f>
        <v>179190.03727946829</v>
      </c>
      <c r="AG27" s="46">
        <f t="shared" si="50"/>
        <v>186211.50098936781</v>
      </c>
      <c r="AH27" s="46">
        <f t="shared" si="50"/>
        <v>193232.96469926732</v>
      </c>
      <c r="AI27" s="46">
        <f t="shared" si="50"/>
        <v>200254.42840916684</v>
      </c>
      <c r="AJ27" s="46">
        <f t="shared" si="50"/>
        <v>207275.89211906638</v>
      </c>
      <c r="AK27" s="46">
        <f t="shared" si="50"/>
        <v>214297.3558289659</v>
      </c>
      <c r="AL27" s="46">
        <f t="shared" si="50"/>
        <v>221318.81953886541</v>
      </c>
      <c r="AM27" s="46">
        <f t="shared" si="50"/>
        <v>228340.28324876493</v>
      </c>
      <c r="AN27" s="46">
        <f t="shared" si="50"/>
        <v>235361.74695866444</v>
      </c>
      <c r="AO27" s="46">
        <f t="shared" si="50"/>
        <v>242383.21066856396</v>
      </c>
      <c r="AP27" s="46">
        <f t="shared" si="50"/>
        <v>249404.67437846347</v>
      </c>
    </row>
    <row r="28" spans="1:42" x14ac:dyDescent="0.2">
      <c r="A28" s="146" t="s">
        <v>23</v>
      </c>
      <c r="B28" s="90">
        <f>+'Option 1, Step 1'!Q29-AE28+'Option 4, Step 1'!Q28-P28</f>
        <v>346104.92300705728</v>
      </c>
      <c r="C28" s="90">
        <f>+'Option 1, Step 1'!R29-AF28+'Option 4, Step 1'!R28-Q28</f>
        <v>421517.94244027563</v>
      </c>
      <c r="D28" s="90">
        <f>+'Option 1, Step 1'!S29-AG28+'Option 4, Step 1'!S28-R28</f>
        <v>487926.97753102658</v>
      </c>
      <c r="E28" s="90">
        <f>+'Option 1, Step 1'!T29-AH28+'Option 4, Step 1'!T28-S28</f>
        <v>553876.12530170195</v>
      </c>
      <c r="F28" s="90">
        <f>+'Option 1, Step 1'!U29-AI28+'Option 4, Step 1'!U28-T28</f>
        <v>599136.94954282511</v>
      </c>
      <c r="G28" s="90">
        <f>+'Option 1, Step 1'!V29-AJ28+'Option 4, Step 1'!V28-U28</f>
        <v>645261.79174171644</v>
      </c>
      <c r="H28" s="90">
        <f>+'Option 1, Step 1'!W29-AK28+'Option 4, Step 1'!W28-V28</f>
        <v>692507.50085715496</v>
      </c>
      <c r="I28" s="90">
        <f>+'Option 1, Step 1'!X29-AL28+'Option 4, Step 1'!X28-W28</f>
        <v>695600.13445978332</v>
      </c>
      <c r="J28" s="90">
        <f>+'Option 1, Step 1'!Y29-AM28+'Option 4, Step 1'!Y28-X28</f>
        <v>698915.01719674235</v>
      </c>
      <c r="K28" s="90">
        <f>+'Option 1, Step 1'!Z29-AN28+'Option 4, Step 1'!Z28-Y28</f>
        <v>702544.15027878736</v>
      </c>
      <c r="L28" s="90">
        <f>+'Option 1, Step 1'!AA29-AO28+'Option 4, Step 1'!AA28-Z28</f>
        <v>706516.79539466952</v>
      </c>
      <c r="M28" s="147">
        <f>+'Option 1, Step 1'!AB29-AP28+'Option 4, Step 1'!AB28-AA28</f>
        <v>710764.82650085608</v>
      </c>
      <c r="O28" s="45" t="s">
        <v>23</v>
      </c>
      <c r="P28" s="46">
        <v>70300</v>
      </c>
      <c r="Q28" s="46">
        <v>80800</v>
      </c>
      <c r="R28" s="46">
        <f t="shared" ref="R28:AB28" si="51">+Q28+($Q28-$P28)/8</f>
        <v>82112.5</v>
      </c>
      <c r="S28" s="46">
        <f t="shared" si="51"/>
        <v>83425</v>
      </c>
      <c r="T28" s="46">
        <f t="shared" si="51"/>
        <v>84737.5</v>
      </c>
      <c r="U28" s="46">
        <f t="shared" si="51"/>
        <v>86050</v>
      </c>
      <c r="V28" s="46">
        <f t="shared" si="51"/>
        <v>87362.5</v>
      </c>
      <c r="W28" s="46">
        <f t="shared" si="51"/>
        <v>88675</v>
      </c>
      <c r="X28" s="46">
        <f t="shared" si="51"/>
        <v>89987.5</v>
      </c>
      <c r="Y28" s="46">
        <f t="shared" si="51"/>
        <v>91300</v>
      </c>
      <c r="Z28" s="46">
        <f t="shared" si="51"/>
        <v>92612.5</v>
      </c>
      <c r="AA28" s="46">
        <f t="shared" si="51"/>
        <v>93925</v>
      </c>
      <c r="AB28" s="46">
        <f t="shared" si="51"/>
        <v>95237.5</v>
      </c>
      <c r="AD28" s="45" t="s">
        <v>23</v>
      </c>
      <c r="AE28" s="46">
        <f>+'Option 1, Step 1'!Q29*35%</f>
        <v>98433.420080723139</v>
      </c>
      <c r="AF28" s="46">
        <f t="shared" ref="AF28:AP28" si="52">+AE28*R28/Q28</f>
        <v>100032.35403933637</v>
      </c>
      <c r="AG28" s="46">
        <f t="shared" si="52"/>
        <v>101631.28799794959</v>
      </c>
      <c r="AH28" s="46">
        <f t="shared" si="52"/>
        <v>103230.22195656282</v>
      </c>
      <c r="AI28" s="46">
        <f t="shared" si="52"/>
        <v>104829.15591517604</v>
      </c>
      <c r="AJ28" s="46">
        <f t="shared" si="52"/>
        <v>106428.08987378927</v>
      </c>
      <c r="AK28" s="46">
        <f t="shared" si="52"/>
        <v>108027.0238324025</v>
      </c>
      <c r="AL28" s="46">
        <f t="shared" si="52"/>
        <v>109625.95779101574</v>
      </c>
      <c r="AM28" s="46">
        <f t="shared" si="52"/>
        <v>111224.89174962897</v>
      </c>
      <c r="AN28" s="46">
        <f t="shared" si="52"/>
        <v>112823.82570824219</v>
      </c>
      <c r="AO28" s="46">
        <f t="shared" si="52"/>
        <v>114422.75966685543</v>
      </c>
      <c r="AP28" s="46">
        <f t="shared" si="52"/>
        <v>116021.69362546866</v>
      </c>
    </row>
    <row r="29" spans="1:42" x14ac:dyDescent="0.2">
      <c r="A29" s="146" t="s">
        <v>24</v>
      </c>
      <c r="B29" s="90">
        <f>+'Option 1, Step 1'!Q30-AE29+'Option 4, Step 1'!Q29-P29</f>
        <v>75228.053606257032</v>
      </c>
      <c r="C29" s="90">
        <f>+'Option 1, Step 1'!R30-AF29+'Option 4, Step 1'!R29-Q29</f>
        <v>89331.388363208811</v>
      </c>
      <c r="D29" s="90">
        <f>+'Option 1, Step 1'!S30-AG29+'Option 4, Step 1'!S29-R29</f>
        <v>106110.7291367251</v>
      </c>
      <c r="E29" s="90">
        <f>+'Option 1, Step 1'!T30-AH29+'Option 4, Step 1'!T29-S29</f>
        <v>118501.81086624329</v>
      </c>
      <c r="F29" s="90">
        <f>+'Option 1, Step 1'!U30-AI29+'Option 4, Step 1'!U29-T29</f>
        <v>126465.78209276852</v>
      </c>
      <c r="G29" s="90">
        <f>+'Option 1, Step 1'!V30-AJ29+'Option 4, Step 1'!V29-U29</f>
        <v>134358.05021367443</v>
      </c>
      <c r="H29" s="90">
        <f>+'Option 1, Step 1'!W30-AK29+'Option 4, Step 1'!W29-V29</f>
        <v>142120.2342076308</v>
      </c>
      <c r="I29" s="90">
        <f>+'Option 1, Step 1'!X30-AL29+'Option 4, Step 1'!X29-W29</f>
        <v>141153.97664254264</v>
      </c>
      <c r="J29" s="90">
        <f>+'Option 1, Step 1'!Y30-AM29+'Option 4, Step 1'!Y29-X29</f>
        <v>140302.57523037167</v>
      </c>
      <c r="K29" s="90">
        <f>+'Option 1, Step 1'!Z30-AN29+'Option 4, Step 1'!Z29-Y29</f>
        <v>139393.51779266371</v>
      </c>
      <c r="L29" s="90">
        <f>+'Option 1, Step 1'!AA30-AO29+'Option 4, Step 1'!AA29-Z29</f>
        <v>138514.51984145798</v>
      </c>
      <c r="M29" s="147">
        <f>+'Option 1, Step 1'!AB30-AP29+'Option 4, Step 1'!AB29-AA29</f>
        <v>137693.45021664651</v>
      </c>
      <c r="O29" s="45" t="s">
        <v>24</v>
      </c>
      <c r="P29" s="46">
        <v>12200</v>
      </c>
      <c r="Q29" s="46">
        <v>19000</v>
      </c>
      <c r="R29" s="46">
        <f t="shared" ref="R29:AB29" si="53">+Q29+($Q29-$P29)/8</f>
        <v>19850</v>
      </c>
      <c r="S29" s="46">
        <f t="shared" si="53"/>
        <v>20700</v>
      </c>
      <c r="T29" s="46">
        <f t="shared" si="53"/>
        <v>21550</v>
      </c>
      <c r="U29" s="46">
        <f t="shared" si="53"/>
        <v>22400</v>
      </c>
      <c r="V29" s="46">
        <f t="shared" si="53"/>
        <v>23250</v>
      </c>
      <c r="W29" s="46">
        <f t="shared" si="53"/>
        <v>24100</v>
      </c>
      <c r="X29" s="46">
        <f t="shared" si="53"/>
        <v>24950</v>
      </c>
      <c r="Y29" s="46">
        <f t="shared" si="53"/>
        <v>25800</v>
      </c>
      <c r="Z29" s="46">
        <f t="shared" si="53"/>
        <v>26650</v>
      </c>
      <c r="AA29" s="46">
        <f t="shared" si="53"/>
        <v>27500</v>
      </c>
      <c r="AB29" s="46">
        <f t="shared" si="53"/>
        <v>28350</v>
      </c>
      <c r="AD29" s="45" t="s">
        <v>24</v>
      </c>
      <c r="AE29" s="46">
        <f>+'Option 1, Step 1'!Q30*35%</f>
        <v>16545.875018753784</v>
      </c>
      <c r="AF29" s="46">
        <f t="shared" ref="AF29:AP29" si="54">+AE29*R29/Q29</f>
        <v>17286.08521696119</v>
      </c>
      <c r="AG29" s="46">
        <f t="shared" si="54"/>
        <v>18026.295415168595</v>
      </c>
      <c r="AH29" s="46">
        <f t="shared" si="54"/>
        <v>18766.505613376001</v>
      </c>
      <c r="AI29" s="46">
        <f t="shared" si="54"/>
        <v>19506.715811583406</v>
      </c>
      <c r="AJ29" s="46">
        <f t="shared" si="54"/>
        <v>20246.926009790812</v>
      </c>
      <c r="AK29" s="46">
        <f t="shared" si="54"/>
        <v>20987.136207998217</v>
      </c>
      <c r="AL29" s="46">
        <f t="shared" si="54"/>
        <v>21727.346406205623</v>
      </c>
      <c r="AM29" s="46">
        <f t="shared" si="54"/>
        <v>22467.556604413032</v>
      </c>
      <c r="AN29" s="46">
        <f t="shared" si="54"/>
        <v>23207.766802620441</v>
      </c>
      <c r="AO29" s="46">
        <f t="shared" si="54"/>
        <v>23947.977000827846</v>
      </c>
      <c r="AP29" s="46">
        <f t="shared" si="54"/>
        <v>24688.187199035256</v>
      </c>
    </row>
    <row r="30" spans="1:42" ht="13.5" thickBot="1" x14ac:dyDescent="0.25">
      <c r="A30" s="148" t="s">
        <v>25</v>
      </c>
      <c r="B30" s="149">
        <f>+'Option 1, Step 1'!Q31-AE30+'Option 4, Step 1'!Q30-P30</f>
        <v>320881.9053461072</v>
      </c>
      <c r="C30" s="149">
        <f>+'Option 1, Step 1'!R31-AF30+'Option 4, Step 1'!R30-Q30</f>
        <v>364577.2589233162</v>
      </c>
      <c r="D30" s="149">
        <f>+'Option 1, Step 1'!S31-AG30+'Option 4, Step 1'!S30-R30</f>
        <v>411770.62118075677</v>
      </c>
      <c r="E30" s="149">
        <f>+'Option 1, Step 1'!T31-AH30+'Option 4, Step 1'!T30-S30</f>
        <v>445698.98497067532</v>
      </c>
      <c r="F30" s="149">
        <f>+'Option 1, Step 1'!U31-AI30+'Option 4, Step 1'!U30-T30</f>
        <v>467220.95362950081</v>
      </c>
      <c r="G30" s="149">
        <f>+'Option 1, Step 1'!V31-AJ30+'Option 4, Step 1'!V30-U30</f>
        <v>488719.29794463306</v>
      </c>
      <c r="H30" s="149">
        <f>+'Option 1, Step 1'!W31-AK30+'Option 4, Step 1'!W30-V30</f>
        <v>510019.00890318095</v>
      </c>
      <c r="I30" s="149">
        <f>+'Option 1, Step 1'!X31-AL30+'Option 4, Step 1'!X30-W30</f>
        <v>506925.4908511996</v>
      </c>
      <c r="J30" s="149">
        <f>+'Option 1, Step 1'!Y31-AM30+'Option 4, Step 1'!Y30-X30</f>
        <v>503646.43988022907</v>
      </c>
      <c r="K30" s="149">
        <f>+'Option 1, Step 1'!Z31-AN30+'Option 4, Step 1'!Z30-Y30</f>
        <v>500693.6165690003</v>
      </c>
      <c r="L30" s="149">
        <f>+'Option 1, Step 1'!AA31-AO30+'Option 4, Step 1'!AA30-Z30</f>
        <v>497671.66488371277</v>
      </c>
      <c r="M30" s="150">
        <f>+'Option 1, Step 1'!AB31-AP30+'Option 4, Step 1'!AB30-AA30</f>
        <v>495119.17445007944</v>
      </c>
      <c r="O30" s="45" t="s">
        <v>25</v>
      </c>
      <c r="P30" s="46">
        <v>29700</v>
      </c>
      <c r="Q30" s="46">
        <v>45000</v>
      </c>
      <c r="R30" s="46">
        <f t="shared" ref="R30:AB30" si="55">+Q30+($Q30-$P30)/8</f>
        <v>46912.5</v>
      </c>
      <c r="S30" s="46">
        <f t="shared" si="55"/>
        <v>48825</v>
      </c>
      <c r="T30" s="46">
        <f t="shared" si="55"/>
        <v>50737.5</v>
      </c>
      <c r="U30" s="46">
        <f t="shared" si="55"/>
        <v>52650</v>
      </c>
      <c r="V30" s="46">
        <f t="shared" si="55"/>
        <v>54562.5</v>
      </c>
      <c r="W30" s="46">
        <f t="shared" si="55"/>
        <v>56475</v>
      </c>
      <c r="X30" s="46">
        <f t="shared" si="55"/>
        <v>58387.5</v>
      </c>
      <c r="Y30" s="46">
        <f t="shared" si="55"/>
        <v>60300</v>
      </c>
      <c r="Z30" s="46">
        <f t="shared" si="55"/>
        <v>62212.5</v>
      </c>
      <c r="AA30" s="46">
        <f t="shared" si="55"/>
        <v>64125</v>
      </c>
      <c r="AB30" s="46">
        <f t="shared" si="55"/>
        <v>66037.5</v>
      </c>
      <c r="AD30" s="45" t="s">
        <v>25</v>
      </c>
      <c r="AE30" s="46">
        <f>+'Option 1, Step 1'!Q31*35%</f>
        <v>46061.025955596204</v>
      </c>
      <c r="AF30" s="46">
        <f t="shared" ref="AF30:AP30" si="56">+AE30*R30/Q30</f>
        <v>48018.619558709041</v>
      </c>
      <c r="AG30" s="46">
        <f t="shared" si="56"/>
        <v>49976.213161821885</v>
      </c>
      <c r="AH30" s="46">
        <f t="shared" si="56"/>
        <v>51933.806764934721</v>
      </c>
      <c r="AI30" s="46">
        <f t="shared" si="56"/>
        <v>53891.400368047558</v>
      </c>
      <c r="AJ30" s="46">
        <f t="shared" si="56"/>
        <v>55848.993971160395</v>
      </c>
      <c r="AK30" s="46">
        <f t="shared" si="56"/>
        <v>57806.587574273231</v>
      </c>
      <c r="AL30" s="46">
        <f t="shared" si="56"/>
        <v>59764.181177386075</v>
      </c>
      <c r="AM30" s="46">
        <f t="shared" si="56"/>
        <v>61721.774780498912</v>
      </c>
      <c r="AN30" s="46">
        <f t="shared" si="56"/>
        <v>63679.368383611749</v>
      </c>
      <c r="AO30" s="46">
        <f t="shared" si="56"/>
        <v>65636.961986724593</v>
      </c>
      <c r="AP30" s="46">
        <f t="shared" si="56"/>
        <v>67594.55558983743</v>
      </c>
    </row>
    <row r="32" spans="1:42" x14ac:dyDescent="0.2">
      <c r="B32" s="142" t="s">
        <v>378</v>
      </c>
      <c r="AB32" s="43">
        <f>5.4/20.5</f>
        <v>0.26341463414634148</v>
      </c>
      <c r="AE32" s="46">
        <f>+'Option 1, Step 1'!Q4-AE3</f>
        <v>7807524.8192499997</v>
      </c>
    </row>
  </sheetData>
  <pageMargins left="0.7" right="0.7" top="0.75" bottom="0.75" header="0.3" footer="0.3"/>
  <pageSetup orientation="portrait" horizontalDpi="1200" verticalDpi="12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AB32"/>
  <sheetViews>
    <sheetView workbookViewId="0">
      <selection activeCell="Q29" sqref="Q29"/>
    </sheetView>
  </sheetViews>
  <sheetFormatPr defaultColWidth="9.140625" defaultRowHeight="12.75" x14ac:dyDescent="0.2"/>
  <cols>
    <col min="1" max="2" width="3.5703125" style="43" customWidth="1"/>
    <col min="3" max="14" width="10.140625" style="43" bestFit="1" customWidth="1"/>
    <col min="15" max="16" width="9.140625" style="43"/>
    <col min="17" max="28" width="10.140625" style="43" bestFit="1" customWidth="1"/>
    <col min="29" max="16384" width="9.140625" style="43"/>
  </cols>
  <sheetData>
    <row r="1" spans="2:28" ht="13.5" thickBot="1" x14ac:dyDescent="0.25">
      <c r="C1" s="43" t="s">
        <v>260</v>
      </c>
      <c r="Q1" s="43" t="s">
        <v>259</v>
      </c>
    </row>
    <row r="2" spans="2:28" x14ac:dyDescent="0.2">
      <c r="B2" s="143"/>
      <c r="C2" s="144">
        <v>2019</v>
      </c>
      <c r="D2" s="144">
        <v>2020</v>
      </c>
      <c r="E2" s="144">
        <v>2021</v>
      </c>
      <c r="F2" s="144">
        <v>2022</v>
      </c>
      <c r="G2" s="144">
        <v>2023</v>
      </c>
      <c r="H2" s="144">
        <v>2024</v>
      </c>
      <c r="I2" s="144">
        <v>2025</v>
      </c>
      <c r="J2" s="144">
        <v>2026</v>
      </c>
      <c r="K2" s="144">
        <v>2027</v>
      </c>
      <c r="L2" s="144">
        <v>2028</v>
      </c>
      <c r="M2" s="144">
        <v>2029</v>
      </c>
      <c r="N2" s="145">
        <v>2030</v>
      </c>
      <c r="P2" s="45"/>
      <c r="Q2" s="44">
        <v>2019</v>
      </c>
      <c r="R2" s="44">
        <v>2020</v>
      </c>
      <c r="S2" s="44">
        <v>2021</v>
      </c>
      <c r="T2" s="44">
        <v>2022</v>
      </c>
      <c r="U2" s="44">
        <v>2023</v>
      </c>
      <c r="V2" s="44">
        <v>2024</v>
      </c>
      <c r="W2" s="44">
        <v>2025</v>
      </c>
      <c r="X2" s="44">
        <v>2026</v>
      </c>
      <c r="Y2" s="44">
        <v>2027</v>
      </c>
      <c r="Z2" s="44">
        <v>2028</v>
      </c>
      <c r="AA2" s="44">
        <v>2029</v>
      </c>
      <c r="AB2" s="44">
        <v>2030</v>
      </c>
    </row>
    <row r="3" spans="2:28" x14ac:dyDescent="0.2">
      <c r="B3" s="146" t="s">
        <v>72</v>
      </c>
      <c r="C3" s="90">
        <f>+Q3+'Option 1, Step 1'!Q4</f>
        <v>25319652.645</v>
      </c>
      <c r="D3" s="90">
        <f t="shared" ref="D3:N3" si="0">+SUM(D4:D30)</f>
        <v>26857271.700000003</v>
      </c>
      <c r="E3" s="90">
        <f t="shared" si="0"/>
        <v>27692053.487539276</v>
      </c>
      <c r="F3" s="90">
        <f t="shared" si="0"/>
        <v>29932509.810000002</v>
      </c>
      <c r="G3" s="90">
        <f t="shared" si="0"/>
        <v>31470128.865000002</v>
      </c>
      <c r="H3" s="90">
        <f t="shared" si="0"/>
        <v>33007747.919999994</v>
      </c>
      <c r="I3" s="90">
        <f t="shared" si="0"/>
        <v>34545366.975000001</v>
      </c>
      <c r="J3" s="90">
        <f t="shared" si="0"/>
        <v>34663791.975000001</v>
      </c>
      <c r="K3" s="90">
        <f t="shared" si="0"/>
        <v>34782216.974999994</v>
      </c>
      <c r="L3" s="90">
        <f t="shared" si="0"/>
        <v>34900641.975000001</v>
      </c>
      <c r="M3" s="90">
        <f t="shared" si="0"/>
        <v>35019066.975000001</v>
      </c>
      <c r="N3" s="147">
        <f t="shared" si="0"/>
        <v>35137491.975000009</v>
      </c>
      <c r="P3" s="45" t="s">
        <v>72</v>
      </c>
      <c r="Q3" s="46">
        <f>+'Option 2, Step 1'!AI3</f>
        <v>13308076</v>
      </c>
      <c r="R3" s="46">
        <f>+Q3+'Option 3, Step 1'!R3-'Option 3, Step 1'!Q3</f>
        <v>13426701</v>
      </c>
      <c r="S3" s="46">
        <f>+R3+'Option 3, Step 1'!S3-'Option 3, Step 1'!R3</f>
        <v>13545126</v>
      </c>
      <c r="T3" s="46">
        <f>+S3+'Option 3, Step 1'!T3-'Option 3, Step 1'!S3</f>
        <v>13663551</v>
      </c>
      <c r="U3" s="46">
        <f>+T3+'Option 3, Step 1'!U3-'Option 3, Step 1'!T3</f>
        <v>13781976</v>
      </c>
      <c r="V3" s="46">
        <f>+U3+'Option 3, Step 1'!V3-'Option 3, Step 1'!U3</f>
        <v>13900401</v>
      </c>
      <c r="W3" s="46">
        <f>+V3+'Option 3, Step 1'!W3-'Option 3, Step 1'!V3</f>
        <v>14018826</v>
      </c>
      <c r="X3" s="46">
        <f>+W3+'Option 3, Step 1'!X3-'Option 3, Step 1'!W3</f>
        <v>14137251</v>
      </c>
      <c r="Y3" s="46">
        <f>+X3+'Option 3, Step 1'!Y3-'Option 3, Step 1'!X3</f>
        <v>14255676</v>
      </c>
      <c r="Z3" s="46">
        <f>+Y3+'Option 3, Step 1'!Z3-'Option 3, Step 1'!Y3</f>
        <v>14374101</v>
      </c>
      <c r="AA3" s="46">
        <f>+Z3+'Option 3, Step 1'!AA3-'Option 3, Step 1'!Z3</f>
        <v>14492526</v>
      </c>
      <c r="AB3" s="46">
        <f>+AA3+'Option 3, Step 1'!AB3-'Option 3, Step 1'!AA3</f>
        <v>14610951</v>
      </c>
    </row>
    <row r="4" spans="2:28" x14ac:dyDescent="0.2">
      <c r="B4" s="146" t="s">
        <v>0</v>
      </c>
      <c r="C4" s="90">
        <f>+Q4+'Option 1, Step 1'!Q5</f>
        <v>402299.35419625399</v>
      </c>
      <c r="D4" s="90">
        <f>+R4+'Option 1, Step 1'!R5</f>
        <v>385725.11088681227</v>
      </c>
      <c r="E4" s="90">
        <f>+S4+'Option 1, Step 1'!S5</f>
        <v>357865.89107020246</v>
      </c>
      <c r="F4" s="90">
        <f>+T4+'Option 1, Step 1'!T5</f>
        <v>386915.89172395575</v>
      </c>
      <c r="G4" s="90">
        <f>+U4+'Option 1, Step 1'!U5</f>
        <v>407048.57011884078</v>
      </c>
      <c r="H4" s="90">
        <f>+V4+'Option 1, Step 1'!V5</f>
        <v>427498.70765759679</v>
      </c>
      <c r="I4" s="90">
        <f>+W4+'Option 1, Step 1'!W5</f>
        <v>448261.16734353313</v>
      </c>
      <c r="J4" s="90">
        <f>+X4+'Option 1, Step 1'!X5</f>
        <v>450940.44547872664</v>
      </c>
      <c r="K4" s="90">
        <f>+Y4+'Option 1, Step 1'!Y5</f>
        <v>453614.0309204121</v>
      </c>
      <c r="L4" s="90">
        <f>+Z4+'Option 1, Step 1'!Z5</f>
        <v>456210.55281479436</v>
      </c>
      <c r="M4" s="90">
        <f>+AA4+'Option 1, Step 1'!AA5</f>
        <v>458894.3475042046</v>
      </c>
      <c r="N4" s="147">
        <f>+AB4+'Option 1, Step 1'!AB5</f>
        <v>461617.36773347674</v>
      </c>
      <c r="P4" s="45" t="s">
        <v>0</v>
      </c>
      <c r="Q4" s="46">
        <f>+'Option 2, Step 1'!AI4</f>
        <v>175200</v>
      </c>
      <c r="R4" s="46">
        <f>+Q4+'Option 3, Step 1'!R4-'Option 3, Step 1'!Q4</f>
        <v>177150</v>
      </c>
      <c r="S4" s="46">
        <f>+R4+'Option 3, Step 1'!S4-'Option 3, Step 1'!R4</f>
        <v>179100</v>
      </c>
      <c r="T4" s="46">
        <f>+S4+'Option 3, Step 1'!T4-'Option 3, Step 1'!S4</f>
        <v>181050</v>
      </c>
      <c r="U4" s="46">
        <f>+T4+'Option 3, Step 1'!U4-'Option 3, Step 1'!T4</f>
        <v>183000</v>
      </c>
      <c r="V4" s="46">
        <f>+U4+'Option 3, Step 1'!V4-'Option 3, Step 1'!U4</f>
        <v>184950</v>
      </c>
      <c r="W4" s="46">
        <f>+V4+'Option 3, Step 1'!W4-'Option 3, Step 1'!V4</f>
        <v>186900</v>
      </c>
      <c r="X4" s="46">
        <f>+W4+'Option 3, Step 1'!X4-'Option 3, Step 1'!W4</f>
        <v>188850</v>
      </c>
      <c r="Y4" s="46">
        <f>+X4+'Option 3, Step 1'!Y4-'Option 3, Step 1'!X4</f>
        <v>190800</v>
      </c>
      <c r="Z4" s="46">
        <f>+Y4+'Option 3, Step 1'!Z4-'Option 3, Step 1'!Y4</f>
        <v>192750</v>
      </c>
      <c r="AA4" s="46">
        <f>+Z4+'Option 3, Step 1'!AA4-'Option 3, Step 1'!Z4</f>
        <v>194700</v>
      </c>
      <c r="AB4" s="46">
        <f>+AA4+'Option 3, Step 1'!AB4-'Option 3, Step 1'!AA4</f>
        <v>196650</v>
      </c>
    </row>
    <row r="5" spans="2:28" x14ac:dyDescent="0.2">
      <c r="B5" s="146" t="s">
        <v>1</v>
      </c>
      <c r="C5" s="90">
        <f>+Q5+'Option 1, Step 1'!Q6</f>
        <v>620274.26255604788</v>
      </c>
      <c r="D5" s="90">
        <f>+R5+'Option 1, Step 1'!R6</f>
        <v>657879.51297299669</v>
      </c>
      <c r="E5" s="90">
        <f>+S5+'Option 1, Step 1'!S6</f>
        <v>680432.60402140045</v>
      </c>
      <c r="F5" s="90">
        <f>+T5+'Option 1, Step 1'!T6</f>
        <v>733078.76329590182</v>
      </c>
      <c r="G5" s="90">
        <f>+U5+'Option 1, Step 1'!U6</f>
        <v>771332.81866630784</v>
      </c>
      <c r="H5" s="90">
        <f>+V5+'Option 1, Step 1'!V6</f>
        <v>809880.82333259424</v>
      </c>
      <c r="I5" s="90">
        <f>+W5+'Option 1, Step 1'!W6</f>
        <v>848710.22815123259</v>
      </c>
      <c r="J5" s="90">
        <f>+X5+'Option 1, Step 1'!X6</f>
        <v>857288.24953321076</v>
      </c>
      <c r="K5" s="90">
        <f>+Y5+'Option 1, Step 1'!Y6</f>
        <v>865828.48093988455</v>
      </c>
      <c r="L5" s="90">
        <f>+Z5+'Option 1, Step 1'!Z6</f>
        <v>874305.755011464</v>
      </c>
      <c r="M5" s="90">
        <f>+AA5+'Option 1, Step 1'!AA6</f>
        <v>882857.31086891191</v>
      </c>
      <c r="N5" s="147">
        <f>+AB5+'Option 1, Step 1'!AB6</f>
        <v>891436.2755992543</v>
      </c>
      <c r="P5" s="45" t="s">
        <v>1</v>
      </c>
      <c r="Q5" s="46">
        <f>+'Option 2, Step 1'!AI5</f>
        <v>366200</v>
      </c>
      <c r="R5" s="46">
        <f>+Q5+'Option 3, Step 1'!R5-'Option 3, Step 1'!Q5</f>
        <v>373575</v>
      </c>
      <c r="S5" s="46">
        <f>+R5+'Option 3, Step 1'!S5-'Option 3, Step 1'!R5</f>
        <v>380950</v>
      </c>
      <c r="T5" s="46">
        <f>+S5+'Option 3, Step 1'!T5-'Option 3, Step 1'!S5</f>
        <v>388325</v>
      </c>
      <c r="U5" s="46">
        <f>+T5+'Option 3, Step 1'!U5-'Option 3, Step 1'!T5</f>
        <v>395700</v>
      </c>
      <c r="V5" s="46">
        <f>+U5+'Option 3, Step 1'!V5-'Option 3, Step 1'!U5</f>
        <v>403075</v>
      </c>
      <c r="W5" s="46">
        <f>+V5+'Option 3, Step 1'!W5-'Option 3, Step 1'!V5</f>
        <v>410450</v>
      </c>
      <c r="X5" s="46">
        <f>+W5+'Option 3, Step 1'!X5-'Option 3, Step 1'!W5</f>
        <v>417825</v>
      </c>
      <c r="Y5" s="46">
        <f>+X5+'Option 3, Step 1'!Y5-'Option 3, Step 1'!X5</f>
        <v>425200</v>
      </c>
      <c r="Z5" s="46">
        <f>+Y5+'Option 3, Step 1'!Z5-'Option 3, Step 1'!Y5</f>
        <v>432575</v>
      </c>
      <c r="AA5" s="46">
        <f>+Z5+'Option 3, Step 1'!AA5-'Option 3, Step 1'!Z5</f>
        <v>439950</v>
      </c>
      <c r="AB5" s="46">
        <f>+AA5+'Option 3, Step 1'!AB5-'Option 3, Step 1'!AA5</f>
        <v>447325</v>
      </c>
    </row>
    <row r="6" spans="2:28" x14ac:dyDescent="0.2">
      <c r="B6" s="146" t="s">
        <v>2</v>
      </c>
      <c r="C6" s="90">
        <f>+Q6+'Option 1, Step 1'!Q7</f>
        <v>291935.51982374745</v>
      </c>
      <c r="D6" s="90">
        <f>+R6+'Option 1, Step 1'!R7</f>
        <v>321098.35162480449</v>
      </c>
      <c r="E6" s="90">
        <f>+S6+'Option 1, Step 1'!S7</f>
        <v>338683.38225391769</v>
      </c>
      <c r="F6" s="90">
        <f>+T6+'Option 1, Step 1'!T7</f>
        <v>371168.63816056255</v>
      </c>
      <c r="G6" s="90">
        <f>+U6+'Option 1, Step 1'!U7</f>
        <v>392454.71295054554</v>
      </c>
      <c r="H6" s="90">
        <f>+V6+'Option 1, Step 1'!V7</f>
        <v>413406.75854495924</v>
      </c>
      <c r="I6" s="90">
        <f>+W6+'Option 1, Step 1'!W7</f>
        <v>433977.31592821784</v>
      </c>
      <c r="J6" s="90">
        <f>+X6+'Option 1, Step 1'!X7</f>
        <v>432953.59216186643</v>
      </c>
      <c r="K6" s="90">
        <f>+Y6+'Option 1, Step 1'!Y7</f>
        <v>432649.84545878542</v>
      </c>
      <c r="L6" s="90">
        <f>+Z6+'Option 1, Step 1'!Z7</f>
        <v>432606.42459019239</v>
      </c>
      <c r="M6" s="90">
        <f>+AA6+'Option 1, Step 1'!AA7</f>
        <v>432417.01055848988</v>
      </c>
      <c r="N6" s="147">
        <f>+AB6+'Option 1, Step 1'!AB7</f>
        <v>432533.80246108072</v>
      </c>
      <c r="P6" s="45" t="s">
        <v>2</v>
      </c>
      <c r="Q6" s="46">
        <f>+'Option 2, Step 1'!AI6</f>
        <v>112400</v>
      </c>
      <c r="R6" s="46">
        <f>+Q6+'Option 3, Step 1'!R6-'Option 3, Step 1'!Q6</f>
        <v>114475</v>
      </c>
      <c r="S6" s="46">
        <f>+R6+'Option 3, Step 1'!S6-'Option 3, Step 1'!R6</f>
        <v>116550</v>
      </c>
      <c r="T6" s="46">
        <f>+S6+'Option 3, Step 1'!T6-'Option 3, Step 1'!S6</f>
        <v>118625</v>
      </c>
      <c r="U6" s="46">
        <f>+T6+'Option 3, Step 1'!U6-'Option 3, Step 1'!T6</f>
        <v>120700</v>
      </c>
      <c r="V6" s="46">
        <f>+U6+'Option 3, Step 1'!V6-'Option 3, Step 1'!U6</f>
        <v>122775</v>
      </c>
      <c r="W6" s="46">
        <f>+V6+'Option 3, Step 1'!W6-'Option 3, Step 1'!V6</f>
        <v>124850</v>
      </c>
      <c r="X6" s="46">
        <f>+W6+'Option 3, Step 1'!X6-'Option 3, Step 1'!W6</f>
        <v>126925</v>
      </c>
      <c r="Y6" s="46">
        <f>+X6+'Option 3, Step 1'!Y6-'Option 3, Step 1'!X6</f>
        <v>129000</v>
      </c>
      <c r="Z6" s="46">
        <f>+Y6+'Option 3, Step 1'!Z6-'Option 3, Step 1'!Y6</f>
        <v>131075</v>
      </c>
      <c r="AA6" s="46">
        <f>+Z6+'Option 3, Step 1'!AA6-'Option 3, Step 1'!Z6</f>
        <v>133150</v>
      </c>
      <c r="AB6" s="46">
        <f>+AA6+'Option 3, Step 1'!AB6-'Option 3, Step 1'!AA6</f>
        <v>135225</v>
      </c>
    </row>
    <row r="7" spans="2:28" x14ac:dyDescent="0.2">
      <c r="B7" s="146" t="s">
        <v>3</v>
      </c>
      <c r="C7" s="90">
        <f>+Q7+'Option 1, Step 1'!Q8</f>
        <v>61116.86903501991</v>
      </c>
      <c r="D7" s="90">
        <f>+R7+'Option 1, Step 1'!R8</f>
        <v>68644.429040252668</v>
      </c>
      <c r="E7" s="90">
        <f>+S7+'Option 1, Step 1'!S8</f>
        <v>74285.233467346479</v>
      </c>
      <c r="F7" s="90">
        <f>+T7+'Option 1, Step 1'!T8</f>
        <v>81062.680055978315</v>
      </c>
      <c r="G7" s="90">
        <f>+U7+'Option 1, Step 1'!U8</f>
        <v>85905.700765368645</v>
      </c>
      <c r="H7" s="90">
        <f>+V7+'Option 1, Step 1'!V8</f>
        <v>90791.083947411695</v>
      </c>
      <c r="I7" s="90">
        <f>+W7+'Option 1, Step 1'!W8</f>
        <v>95751.280956641538</v>
      </c>
      <c r="J7" s="90">
        <f>+X7+'Option 1, Step 1'!X8</f>
        <v>96502.29452145689</v>
      </c>
      <c r="K7" s="90">
        <f>+Y7+'Option 1, Step 1'!Y8</f>
        <v>97263.080388562434</v>
      </c>
      <c r="L7" s="90">
        <f>+Z7+'Option 1, Step 1'!Z8</f>
        <v>98074.253870487388</v>
      </c>
      <c r="M7" s="90">
        <f>+AA7+'Option 1, Step 1'!AA8</f>
        <v>98905.535439083382</v>
      </c>
      <c r="N7" s="147">
        <f>+AB7+'Option 1, Step 1'!AB8</f>
        <v>99737.862643888526</v>
      </c>
      <c r="P7" s="45" t="s">
        <v>3</v>
      </c>
      <c r="Q7" s="46">
        <f>+'Option 2, Step 1'!AI7</f>
        <v>33200</v>
      </c>
      <c r="R7" s="46">
        <f>+Q7+'Option 3, Step 1'!R7-'Option 3, Step 1'!Q7</f>
        <v>33637.5</v>
      </c>
      <c r="S7" s="46">
        <f>+R7+'Option 3, Step 1'!S7-'Option 3, Step 1'!R7</f>
        <v>34075</v>
      </c>
      <c r="T7" s="46">
        <f>+S7+'Option 3, Step 1'!T7-'Option 3, Step 1'!S7</f>
        <v>34512.5</v>
      </c>
      <c r="U7" s="46">
        <f>+T7+'Option 3, Step 1'!U7-'Option 3, Step 1'!T7</f>
        <v>34950</v>
      </c>
      <c r="V7" s="46">
        <f>+U7+'Option 3, Step 1'!V7-'Option 3, Step 1'!U7</f>
        <v>35387.5</v>
      </c>
      <c r="W7" s="46">
        <f>+V7+'Option 3, Step 1'!W7-'Option 3, Step 1'!V7</f>
        <v>35825</v>
      </c>
      <c r="X7" s="46">
        <f>+W7+'Option 3, Step 1'!X7-'Option 3, Step 1'!W7</f>
        <v>36262.5</v>
      </c>
      <c r="Y7" s="46">
        <f>+X7+'Option 3, Step 1'!Y7-'Option 3, Step 1'!X7</f>
        <v>36700</v>
      </c>
      <c r="Z7" s="46">
        <f>+Y7+'Option 3, Step 1'!Z7-'Option 3, Step 1'!Y7</f>
        <v>37137.5</v>
      </c>
      <c r="AA7" s="46">
        <f>+Z7+'Option 3, Step 1'!AA7-'Option 3, Step 1'!Z7</f>
        <v>37575</v>
      </c>
      <c r="AB7" s="46">
        <f>+AA7+'Option 3, Step 1'!AB7-'Option 3, Step 1'!AA7</f>
        <v>38012.5</v>
      </c>
    </row>
    <row r="8" spans="2:28" x14ac:dyDescent="0.2">
      <c r="B8" s="146" t="s">
        <v>4</v>
      </c>
      <c r="C8" s="90">
        <f>+Q8+'Option 1, Step 1'!Q9</f>
        <v>775838.44753256836</v>
      </c>
      <c r="D8" s="90">
        <f>+R8+'Option 1, Step 1'!R9</f>
        <v>828300.36865751515</v>
      </c>
      <c r="E8" s="90">
        <f>+S8+'Option 1, Step 1'!S9</f>
        <v>868780.41645630449</v>
      </c>
      <c r="F8" s="90">
        <f>+T8+'Option 1, Step 1'!T9</f>
        <v>912913.27069875691</v>
      </c>
      <c r="G8" s="90">
        <f>+U8+'Option 1, Step 1'!U9</f>
        <v>943683.39833910007</v>
      </c>
      <c r="H8" s="90">
        <f>+V8+'Option 1, Step 1'!V9</f>
        <v>974652.30748680746</v>
      </c>
      <c r="I8" s="90">
        <f>+W8+'Option 1, Step 1'!W9</f>
        <v>1005742.7977634777</v>
      </c>
      <c r="J8" s="90">
        <f>+X8+'Option 1, Step 1'!X9</f>
        <v>1010836.2165127601</v>
      </c>
      <c r="K8" s="90">
        <f>+Y8+'Option 1, Step 1'!Y9</f>
        <v>1015886.8840175687</v>
      </c>
      <c r="L8" s="90">
        <f>+Z8+'Option 1, Step 1'!Z9</f>
        <v>1021101.3270371764</v>
      </c>
      <c r="M8" s="90">
        <f>+AA8+'Option 1, Step 1'!AA9</f>
        <v>1026423.2661733825</v>
      </c>
      <c r="N8" s="147">
        <f>+AB8+'Option 1, Step 1'!AB9</f>
        <v>1031588.5526261812</v>
      </c>
      <c r="P8" s="45" t="s">
        <v>4</v>
      </c>
      <c r="Q8" s="46">
        <f>+'Option 2, Step 1'!AI8</f>
        <v>591390</v>
      </c>
      <c r="R8" s="46">
        <f>+Q8+'Option 3, Step 1'!R8-'Option 3, Step 1'!Q8</f>
        <v>597127.5</v>
      </c>
      <c r="S8" s="46">
        <f>+R8+'Option 3, Step 1'!S8-'Option 3, Step 1'!R8</f>
        <v>602865</v>
      </c>
      <c r="T8" s="46">
        <f>+S8+'Option 3, Step 1'!T8-'Option 3, Step 1'!S8</f>
        <v>608602.5</v>
      </c>
      <c r="U8" s="46">
        <f>+T8+'Option 3, Step 1'!U8-'Option 3, Step 1'!T8</f>
        <v>614340</v>
      </c>
      <c r="V8" s="46">
        <f>+U8+'Option 3, Step 1'!V8-'Option 3, Step 1'!U8</f>
        <v>620077.5</v>
      </c>
      <c r="W8" s="46">
        <f>+V8+'Option 3, Step 1'!W8-'Option 3, Step 1'!V8</f>
        <v>625815</v>
      </c>
      <c r="X8" s="46">
        <f>+W8+'Option 3, Step 1'!X8-'Option 3, Step 1'!W8</f>
        <v>631552.5</v>
      </c>
      <c r="Y8" s="46">
        <f>+X8+'Option 3, Step 1'!Y8-'Option 3, Step 1'!X8</f>
        <v>637290</v>
      </c>
      <c r="Z8" s="46">
        <f>+Y8+'Option 3, Step 1'!Z8-'Option 3, Step 1'!Y8</f>
        <v>643027.5</v>
      </c>
      <c r="AA8" s="46">
        <f>+Z8+'Option 3, Step 1'!AA8-'Option 3, Step 1'!Z8</f>
        <v>648765</v>
      </c>
      <c r="AB8" s="46">
        <f>+AA8+'Option 3, Step 1'!AB8-'Option 3, Step 1'!AA8</f>
        <v>654502.5</v>
      </c>
    </row>
    <row r="9" spans="2:28" x14ac:dyDescent="0.2">
      <c r="B9" s="146" t="s">
        <v>5</v>
      </c>
      <c r="C9" s="90">
        <f>+Q9+'Option 1, Step 1'!Q10</f>
        <v>3996584.6582656084</v>
      </c>
      <c r="D9" s="90">
        <f>+R9+'Option 1, Step 1'!R10</f>
        <v>3882587.1336247707</v>
      </c>
      <c r="E9" s="90">
        <f>+S9+'Option 1, Step 1'!S10</f>
        <v>3664790.4190666629</v>
      </c>
      <c r="F9" s="90">
        <f>+T9+'Option 1, Step 1'!T10</f>
        <v>3931722.4484047508</v>
      </c>
      <c r="G9" s="90">
        <f>+U9+'Option 1, Step 1'!U10</f>
        <v>4104530.6471737283</v>
      </c>
      <c r="H9" s="90">
        <f>+V9+'Option 1, Step 1'!V10</f>
        <v>4276422.8315523099</v>
      </c>
      <c r="I9" s="90">
        <f>+W9+'Option 1, Step 1'!W10</f>
        <v>4444779.637586005</v>
      </c>
      <c r="J9" s="90">
        <f>+X9+'Option 1, Step 1'!X10</f>
        <v>4423967.4757823944</v>
      </c>
      <c r="K9" s="90">
        <f>+Y9+'Option 1, Step 1'!Y10</f>
        <v>4402379.7979424801</v>
      </c>
      <c r="L9" s="90">
        <f>+Z9+'Option 1, Step 1'!Z10</f>
        <v>4380746.3244202361</v>
      </c>
      <c r="M9" s="90">
        <f>+AA9+'Option 1, Step 1'!AA10</f>
        <v>4360322.5828462895</v>
      </c>
      <c r="N9" s="147">
        <f>+AB9+'Option 1, Step 1'!AB10</f>
        <v>4340085.9778366378</v>
      </c>
      <c r="P9" s="45" t="s">
        <v>5</v>
      </c>
      <c r="Q9" s="46">
        <f>+'Option 2, Step 1'!AI9</f>
        <v>1821002</v>
      </c>
      <c r="R9" s="46">
        <f>+Q9+'Option 3, Step 1'!R9-'Option 3, Step 1'!Q9</f>
        <v>1803777</v>
      </c>
      <c r="S9" s="46">
        <f>+R9+'Option 3, Step 1'!S9-'Option 3, Step 1'!R9</f>
        <v>1786552</v>
      </c>
      <c r="T9" s="46">
        <f>+S9+'Option 3, Step 1'!T9-'Option 3, Step 1'!S9</f>
        <v>1769327</v>
      </c>
      <c r="U9" s="46">
        <f>+T9+'Option 3, Step 1'!U9-'Option 3, Step 1'!T9</f>
        <v>1752102</v>
      </c>
      <c r="V9" s="46">
        <f>+U9+'Option 3, Step 1'!V9-'Option 3, Step 1'!U9</f>
        <v>1734877</v>
      </c>
      <c r="W9" s="46">
        <f>+V9+'Option 3, Step 1'!W9-'Option 3, Step 1'!V9</f>
        <v>1717652</v>
      </c>
      <c r="X9" s="46">
        <f>+W9+'Option 3, Step 1'!X9-'Option 3, Step 1'!W9</f>
        <v>1700427</v>
      </c>
      <c r="Y9" s="46">
        <f>+X9+'Option 3, Step 1'!Y9-'Option 3, Step 1'!X9</f>
        <v>1683202</v>
      </c>
      <c r="Z9" s="46">
        <f>+Y9+'Option 3, Step 1'!Z9-'Option 3, Step 1'!Y9</f>
        <v>1665977</v>
      </c>
      <c r="AA9" s="46">
        <f>+Z9+'Option 3, Step 1'!AA9-'Option 3, Step 1'!Z9</f>
        <v>1648752</v>
      </c>
      <c r="AB9" s="46">
        <f>+AA9+'Option 3, Step 1'!AB9-'Option 3, Step 1'!AA9</f>
        <v>1631527</v>
      </c>
    </row>
    <row r="10" spans="2:28" x14ac:dyDescent="0.2">
      <c r="B10" s="146" t="s">
        <v>6</v>
      </c>
      <c r="C10" s="90">
        <f>+Q10+'Option 1, Step 1'!Q11</f>
        <v>253732.5766554861</v>
      </c>
      <c r="D10" s="90">
        <f>+R10+'Option 1, Step 1'!R11</f>
        <v>245668.20352715167</v>
      </c>
      <c r="E10" s="90">
        <f>+S10+'Option 1, Step 1'!S11</f>
        <v>230189.79562681675</v>
      </c>
      <c r="F10" s="90">
        <f>+T10+'Option 1, Step 1'!T11</f>
        <v>248954.26542987788</v>
      </c>
      <c r="G10" s="90">
        <f>+U10+'Option 1, Step 1'!U11</f>
        <v>261713.1997047537</v>
      </c>
      <c r="H10" s="90">
        <f>+V10+'Option 1, Step 1'!V11</f>
        <v>274772.7740649968</v>
      </c>
      <c r="I10" s="90">
        <f>+W10+'Option 1, Step 1'!W11</f>
        <v>288130.96166803362</v>
      </c>
      <c r="J10" s="90">
        <f>+X10+'Option 1, Step 1'!X11</f>
        <v>288957.9767576356</v>
      </c>
      <c r="K10" s="90">
        <f>+Y10+'Option 1, Step 1'!Y11</f>
        <v>289823.3494480963</v>
      </c>
      <c r="L10" s="90">
        <f>+Z10+'Option 1, Step 1'!Z11</f>
        <v>290636.78839021991</v>
      </c>
      <c r="M10" s="90">
        <f>+AA10+'Option 1, Step 1'!AA11</f>
        <v>291449.95564171695</v>
      </c>
      <c r="N10" s="147">
        <f>+AB10+'Option 1, Step 1'!AB11</f>
        <v>292246.63918126479</v>
      </c>
      <c r="P10" s="45" t="s">
        <v>6</v>
      </c>
      <c r="Q10" s="46">
        <f>+'Option 2, Step 1'!AI10</f>
        <v>104200</v>
      </c>
      <c r="R10" s="46">
        <f>+Q10+'Option 3, Step 1'!R10-'Option 3, Step 1'!Q10</f>
        <v>104650</v>
      </c>
      <c r="S10" s="46">
        <f>+R10+'Option 3, Step 1'!S10-'Option 3, Step 1'!R10</f>
        <v>105100</v>
      </c>
      <c r="T10" s="46">
        <f>+S10+'Option 3, Step 1'!T10-'Option 3, Step 1'!S10</f>
        <v>105550</v>
      </c>
      <c r="U10" s="46">
        <f>+T10+'Option 3, Step 1'!U10-'Option 3, Step 1'!T10</f>
        <v>106000</v>
      </c>
      <c r="V10" s="46">
        <f>+U10+'Option 3, Step 1'!V10-'Option 3, Step 1'!U10</f>
        <v>106450</v>
      </c>
      <c r="W10" s="46">
        <f>+V10+'Option 3, Step 1'!W10-'Option 3, Step 1'!V10</f>
        <v>106900</v>
      </c>
      <c r="X10" s="46">
        <f>+W10+'Option 3, Step 1'!X10-'Option 3, Step 1'!W10</f>
        <v>107350</v>
      </c>
      <c r="Y10" s="46">
        <f>+X10+'Option 3, Step 1'!Y10-'Option 3, Step 1'!X10</f>
        <v>107800</v>
      </c>
      <c r="Z10" s="46">
        <f>+Y10+'Option 3, Step 1'!Z10-'Option 3, Step 1'!Y10</f>
        <v>108250</v>
      </c>
      <c r="AA10" s="46">
        <f>+Z10+'Option 3, Step 1'!AA10-'Option 3, Step 1'!Z10</f>
        <v>108700</v>
      </c>
      <c r="AB10" s="46">
        <f>+AA10+'Option 3, Step 1'!AB10-'Option 3, Step 1'!AA10</f>
        <v>109150</v>
      </c>
    </row>
    <row r="11" spans="2:28" x14ac:dyDescent="0.2">
      <c r="B11" s="146" t="s">
        <v>7</v>
      </c>
      <c r="C11" s="90">
        <f>+Q11+'Option 1, Step 1'!Q12</f>
        <v>64719.347613089136</v>
      </c>
      <c r="D11" s="90">
        <f>+R11+'Option 1, Step 1'!R12</f>
        <v>68315.594854341733</v>
      </c>
      <c r="E11" s="90">
        <f>+S11+'Option 1, Step 1'!S12</f>
        <v>70129.171637697946</v>
      </c>
      <c r="F11" s="90">
        <f>+T11+'Option 1, Step 1'!T12</f>
        <v>75706.847871418824</v>
      </c>
      <c r="G11" s="90">
        <f>+U11+'Option 1, Step 1'!U12</f>
        <v>79585.347510945197</v>
      </c>
      <c r="H11" s="90">
        <f>+V11+'Option 1, Step 1'!V12</f>
        <v>83470.955740371268</v>
      </c>
      <c r="I11" s="90">
        <f>+W11+'Option 1, Step 1'!W12</f>
        <v>87315.215695283303</v>
      </c>
      <c r="J11" s="90">
        <f>+X11+'Option 1, Step 1'!X12</f>
        <v>87825.731418472336</v>
      </c>
      <c r="K11" s="90">
        <f>+Y11+'Option 1, Step 1'!Y12</f>
        <v>88302.678320886567</v>
      </c>
      <c r="L11" s="90">
        <f>+Z11+'Option 1, Step 1'!Z12</f>
        <v>88792.654479771096</v>
      </c>
      <c r="M11" s="90">
        <f>+AA11+'Option 1, Step 1'!AA12</f>
        <v>89315.270489948933</v>
      </c>
      <c r="N11" s="147">
        <f>+AB11+'Option 1, Step 1'!AB12</f>
        <v>89787.768132899422</v>
      </c>
      <c r="P11" s="45" t="s">
        <v>7</v>
      </c>
      <c r="Q11" s="46">
        <f>+'Option 2, Step 1'!AI11</f>
        <v>34800</v>
      </c>
      <c r="R11" s="46">
        <f>+Q11+'Option 3, Step 1'!R11-'Option 3, Step 1'!Q11</f>
        <v>35312.5</v>
      </c>
      <c r="S11" s="46">
        <f>+R11+'Option 3, Step 1'!S11-'Option 3, Step 1'!R11</f>
        <v>35825</v>
      </c>
      <c r="T11" s="46">
        <f>+S11+'Option 3, Step 1'!T11-'Option 3, Step 1'!S11</f>
        <v>36337.5</v>
      </c>
      <c r="U11" s="46">
        <f>+T11+'Option 3, Step 1'!U11-'Option 3, Step 1'!T11</f>
        <v>36850</v>
      </c>
      <c r="V11" s="46">
        <f>+U11+'Option 3, Step 1'!V11-'Option 3, Step 1'!U11</f>
        <v>37362.5</v>
      </c>
      <c r="W11" s="46">
        <f>+V11+'Option 3, Step 1'!W11-'Option 3, Step 1'!V11</f>
        <v>37875</v>
      </c>
      <c r="X11" s="46">
        <f>+W11+'Option 3, Step 1'!X11-'Option 3, Step 1'!W11</f>
        <v>38387.5</v>
      </c>
      <c r="Y11" s="46">
        <f>+X11+'Option 3, Step 1'!Y11-'Option 3, Step 1'!X11</f>
        <v>38900</v>
      </c>
      <c r="Z11" s="46">
        <f>+Y11+'Option 3, Step 1'!Z11-'Option 3, Step 1'!Y11</f>
        <v>39412.5</v>
      </c>
      <c r="AA11" s="46">
        <f>+Z11+'Option 3, Step 1'!AA11-'Option 3, Step 1'!Z11</f>
        <v>39925</v>
      </c>
      <c r="AB11" s="46">
        <f>+AA11+'Option 3, Step 1'!AB11-'Option 3, Step 1'!AA11</f>
        <v>40437.5</v>
      </c>
    </row>
    <row r="12" spans="2:28" x14ac:dyDescent="0.2">
      <c r="B12" s="146" t="s">
        <v>8</v>
      </c>
      <c r="C12" s="90">
        <f>+Q12+'Option 1, Step 1'!Q13</f>
        <v>3252086.7548217066</v>
      </c>
      <c r="D12" s="90">
        <f>+R12+'Option 1, Step 1'!R13</f>
        <v>3441344.8500468535</v>
      </c>
      <c r="E12" s="90">
        <f>+S12+'Option 1, Step 1'!S13</f>
        <v>3516131.7431640653</v>
      </c>
      <c r="F12" s="90">
        <f>+T12+'Option 1, Step 1'!T13</f>
        <v>3877529.9738659775</v>
      </c>
      <c r="G12" s="90">
        <f>+U12+'Option 1, Step 1'!U13</f>
        <v>4132711.5264378013</v>
      </c>
      <c r="H12" s="90">
        <f>+V12+'Option 1, Step 1'!V13</f>
        <v>4386871.4773212895</v>
      </c>
      <c r="I12" s="90">
        <f>+W12+'Option 1, Step 1'!W13</f>
        <v>4643116.4739994453</v>
      </c>
      <c r="J12" s="90">
        <f>+X12+'Option 1, Step 1'!X13</f>
        <v>4678729.6096560527</v>
      </c>
      <c r="K12" s="90">
        <f>+Y12+'Option 1, Step 1'!Y13</f>
        <v>4713331.3785805916</v>
      </c>
      <c r="L12" s="90">
        <f>+Z12+'Option 1, Step 1'!Z13</f>
        <v>4744364.5871306499</v>
      </c>
      <c r="M12" s="90">
        <f>+AA12+'Option 1, Step 1'!AA13</f>
        <v>4774693.4007767597</v>
      </c>
      <c r="N12" s="147">
        <f>+AB12+'Option 1, Step 1'!AB13</f>
        <v>4806790.1838316899</v>
      </c>
      <c r="P12" s="45" t="s">
        <v>8</v>
      </c>
      <c r="Q12" s="46">
        <f>+'Option 2, Step 1'!AI12</f>
        <v>1304329.9999999998</v>
      </c>
      <c r="R12" s="46">
        <f>+Q12+'Option 3, Step 1'!R12-'Option 3, Step 1'!Q12</f>
        <v>1323342.4999999998</v>
      </c>
      <c r="S12" s="46">
        <f>+R12+'Option 3, Step 1'!S12-'Option 3, Step 1'!R12</f>
        <v>1342354.9999999998</v>
      </c>
      <c r="T12" s="46">
        <f>+S12+'Option 3, Step 1'!T12-'Option 3, Step 1'!S12</f>
        <v>1361367.4999999998</v>
      </c>
      <c r="U12" s="46">
        <f>+T12+'Option 3, Step 1'!U12-'Option 3, Step 1'!T12</f>
        <v>1380379.9999999998</v>
      </c>
      <c r="V12" s="46">
        <f>+U12+'Option 3, Step 1'!V12-'Option 3, Step 1'!U12</f>
        <v>1399392.4999999998</v>
      </c>
      <c r="W12" s="46">
        <f>+V12+'Option 3, Step 1'!W12-'Option 3, Step 1'!V12</f>
        <v>1418404.9999999998</v>
      </c>
      <c r="X12" s="46">
        <f>+W12+'Option 3, Step 1'!X12-'Option 3, Step 1'!W12</f>
        <v>1437417.4999999998</v>
      </c>
      <c r="Y12" s="46">
        <f>+X12+'Option 3, Step 1'!Y12-'Option 3, Step 1'!X12</f>
        <v>1456429.9999999998</v>
      </c>
      <c r="Z12" s="46">
        <f>+Y12+'Option 3, Step 1'!Z12-'Option 3, Step 1'!Y12</f>
        <v>1475442.4999999998</v>
      </c>
      <c r="AA12" s="46">
        <f>+Z12+'Option 3, Step 1'!AA12-'Option 3, Step 1'!Z12</f>
        <v>1494455</v>
      </c>
      <c r="AB12" s="46">
        <f>+AA12+'Option 3, Step 1'!AB12-'Option 3, Step 1'!AA12</f>
        <v>1513467.5</v>
      </c>
    </row>
    <row r="13" spans="2:28" x14ac:dyDescent="0.2">
      <c r="B13" s="146" t="s">
        <v>9</v>
      </c>
      <c r="C13" s="90">
        <f>+Q13+'Option 1, Step 1'!Q14</f>
        <v>302316.55616665242</v>
      </c>
      <c r="D13" s="90">
        <f>+R13+'Option 1, Step 1'!R14</f>
        <v>366040.62576787424</v>
      </c>
      <c r="E13" s="90">
        <f>+S13+'Option 1, Step 1'!S14</f>
        <v>419605.65360837348</v>
      </c>
      <c r="F13" s="90">
        <f>+T13+'Option 1, Step 1'!T14</f>
        <v>456262.91263793013</v>
      </c>
      <c r="G13" s="90">
        <f>+U13+'Option 1, Step 1'!U14</f>
        <v>481084.88569012837</v>
      </c>
      <c r="H13" s="90">
        <f>+V13+'Option 1, Step 1'!V14</f>
        <v>505904.5946012534</v>
      </c>
      <c r="I13" s="90">
        <f>+W13+'Option 1, Step 1'!W14</f>
        <v>530829.51857966045</v>
      </c>
      <c r="J13" s="90">
        <f>+X13+'Option 1, Step 1'!X14</f>
        <v>532236.43935128965</v>
      </c>
      <c r="K13" s="90">
        <f>+Y13+'Option 1, Step 1'!Y14</f>
        <v>533754.50674973743</v>
      </c>
      <c r="L13" s="90">
        <f>+Z13+'Option 1, Step 1'!Z14</f>
        <v>535331.70601025247</v>
      </c>
      <c r="M13" s="90">
        <f>+AA13+'Option 1, Step 1'!AA14</f>
        <v>537216.02034748218</v>
      </c>
      <c r="N13" s="147">
        <f>+AB13+'Option 1, Step 1'!AB14</f>
        <v>539180.60689129448</v>
      </c>
      <c r="P13" s="45" t="s">
        <v>9</v>
      </c>
      <c r="Q13" s="46">
        <f>+'Option 2, Step 1'!AI13</f>
        <v>177890</v>
      </c>
      <c r="R13" s="46">
        <f>+Q13+'Option 3, Step 1'!R13-'Option 3, Step 1'!Q13</f>
        <v>179715</v>
      </c>
      <c r="S13" s="46">
        <f>+R13+'Option 3, Step 1'!S13-'Option 3, Step 1'!R13</f>
        <v>181540</v>
      </c>
      <c r="T13" s="46">
        <f>+S13+'Option 3, Step 1'!T13-'Option 3, Step 1'!S13</f>
        <v>183365</v>
      </c>
      <c r="U13" s="46">
        <f>+T13+'Option 3, Step 1'!U13-'Option 3, Step 1'!T13</f>
        <v>185190</v>
      </c>
      <c r="V13" s="46">
        <f>+U13+'Option 3, Step 1'!V13-'Option 3, Step 1'!U13</f>
        <v>187015</v>
      </c>
      <c r="W13" s="46">
        <f>+V13+'Option 3, Step 1'!W13-'Option 3, Step 1'!V13</f>
        <v>188840</v>
      </c>
      <c r="X13" s="46">
        <f>+W13+'Option 3, Step 1'!X13-'Option 3, Step 1'!W13</f>
        <v>190665</v>
      </c>
      <c r="Y13" s="46">
        <f>+X13+'Option 3, Step 1'!Y13-'Option 3, Step 1'!X13</f>
        <v>192490</v>
      </c>
      <c r="Z13" s="46">
        <f>+Y13+'Option 3, Step 1'!Z13-'Option 3, Step 1'!Y13</f>
        <v>194315</v>
      </c>
      <c r="AA13" s="46">
        <f>+Z13+'Option 3, Step 1'!AA13-'Option 3, Step 1'!Z13</f>
        <v>196140</v>
      </c>
      <c r="AB13" s="46">
        <f>+AA13+'Option 3, Step 1'!AB13-'Option 3, Step 1'!AA13</f>
        <v>197965</v>
      </c>
    </row>
    <row r="14" spans="2:28" x14ac:dyDescent="0.2">
      <c r="B14" s="146" t="s">
        <v>10</v>
      </c>
      <c r="C14" s="90">
        <f>+Q14+'Option 1, Step 1'!Q15</f>
        <v>2867656.1191053456</v>
      </c>
      <c r="D14" s="90">
        <f>+R14+'Option 1, Step 1'!R15</f>
        <v>3007857.231738654</v>
      </c>
      <c r="E14" s="90">
        <f>+S14+'Option 1, Step 1'!S15</f>
        <v>3069379.5171730868</v>
      </c>
      <c r="F14" s="90">
        <f>+T14+'Option 1, Step 1'!T15</f>
        <v>3329008.0948888715</v>
      </c>
      <c r="G14" s="90">
        <f>+U14+'Option 1, Step 1'!U15</f>
        <v>3513415.9374491037</v>
      </c>
      <c r="H14" s="90">
        <f>+V14+'Option 1, Step 1'!V15</f>
        <v>3699097.6234626491</v>
      </c>
      <c r="I14" s="90">
        <f>+W14+'Option 1, Step 1'!W15</f>
        <v>3886575.4804861601</v>
      </c>
      <c r="J14" s="90">
        <f>+X14+'Option 1, Step 1'!X15</f>
        <v>3919431.3348788749</v>
      </c>
      <c r="K14" s="90">
        <f>+Y14+'Option 1, Step 1'!Y15</f>
        <v>3952994.4437995339</v>
      </c>
      <c r="L14" s="90">
        <f>+Z14+'Option 1, Step 1'!Z15</f>
        <v>3986765.7992478264</v>
      </c>
      <c r="M14" s="90">
        <f>+AA14+'Option 1, Step 1'!AA15</f>
        <v>4021924.3990233163</v>
      </c>
      <c r="N14" s="147">
        <f>+AB14+'Option 1, Step 1'!AB15</f>
        <v>4057281.0958263204</v>
      </c>
      <c r="P14" s="45" t="s">
        <v>10</v>
      </c>
      <c r="Q14" s="46">
        <f>+'Option 2, Step 1'!AI14</f>
        <v>1480800</v>
      </c>
      <c r="R14" s="46">
        <f>+Q14+'Option 3, Step 1'!R14-'Option 3, Step 1'!Q14</f>
        <v>1511362.5</v>
      </c>
      <c r="S14" s="46">
        <f>+R14+'Option 3, Step 1'!S14-'Option 3, Step 1'!R14</f>
        <v>1541925</v>
      </c>
      <c r="T14" s="46">
        <f>+S14+'Option 3, Step 1'!T14-'Option 3, Step 1'!S14</f>
        <v>1572487.5</v>
      </c>
      <c r="U14" s="46">
        <f>+T14+'Option 3, Step 1'!U14-'Option 3, Step 1'!T14</f>
        <v>1603050</v>
      </c>
      <c r="V14" s="46">
        <f>+U14+'Option 3, Step 1'!V14-'Option 3, Step 1'!U14</f>
        <v>1633612.5</v>
      </c>
      <c r="W14" s="46">
        <f>+V14+'Option 3, Step 1'!W14-'Option 3, Step 1'!V14</f>
        <v>1664175</v>
      </c>
      <c r="X14" s="46">
        <f>+W14+'Option 3, Step 1'!X14-'Option 3, Step 1'!W14</f>
        <v>1694737.5</v>
      </c>
      <c r="Y14" s="46">
        <f>+X14+'Option 3, Step 1'!Y14-'Option 3, Step 1'!X14</f>
        <v>1725300</v>
      </c>
      <c r="Z14" s="46">
        <f>+Y14+'Option 3, Step 1'!Z14-'Option 3, Step 1'!Y14</f>
        <v>1755862.5</v>
      </c>
      <c r="AA14" s="46">
        <f>+Z14+'Option 3, Step 1'!AA14-'Option 3, Step 1'!Z14</f>
        <v>1786425</v>
      </c>
      <c r="AB14" s="46">
        <f>+AA14+'Option 3, Step 1'!AB14-'Option 3, Step 1'!AA14</f>
        <v>1816987.5</v>
      </c>
    </row>
    <row r="15" spans="2:28" x14ac:dyDescent="0.2">
      <c r="B15" s="146" t="s">
        <v>11</v>
      </c>
      <c r="C15" s="90">
        <f>+Q15+'Option 1, Step 1'!Q16</f>
        <v>671763.70577065158</v>
      </c>
      <c r="D15" s="90">
        <f>+R15+'Option 1, Step 1'!R16</f>
        <v>700464.95761306561</v>
      </c>
      <c r="E15" s="90">
        <f>+S15+'Option 1, Step 1'!S16</f>
        <v>712679.12679550494</v>
      </c>
      <c r="F15" s="90">
        <f>+T15+'Option 1, Step 1'!T16</f>
        <v>758863.91245844041</v>
      </c>
      <c r="G15" s="90">
        <f>+U15+'Option 1, Step 1'!U16</f>
        <v>789350.73081664497</v>
      </c>
      <c r="H15" s="90">
        <f>+V15+'Option 1, Step 1'!V16</f>
        <v>819905.62963141431</v>
      </c>
      <c r="I15" s="90">
        <f>+W15+'Option 1, Step 1'!W16</f>
        <v>850433.06388980488</v>
      </c>
      <c r="J15" s="90">
        <f>+X15+'Option 1, Step 1'!X16</f>
        <v>849431.11396619666</v>
      </c>
      <c r="K15" s="90">
        <f>+Y15+'Option 1, Step 1'!Y16</f>
        <v>848482.96344648406</v>
      </c>
      <c r="L15" s="90">
        <f>+Z15+'Option 1, Step 1'!Z16</f>
        <v>847895.70982980554</v>
      </c>
      <c r="M15" s="90">
        <f>+AA15+'Option 1, Step 1'!AA16</f>
        <v>847215.98915758356</v>
      </c>
      <c r="N15" s="147">
        <f>+AB15+'Option 1, Step 1'!AB16</f>
        <v>846393.45662902668</v>
      </c>
      <c r="P15" s="45" t="s">
        <v>11</v>
      </c>
      <c r="Q15" s="46">
        <f>+'Option 2, Step 1'!AI15</f>
        <v>395349</v>
      </c>
      <c r="R15" s="46">
        <f>+Q15+'Option 3, Step 1'!R15-'Option 3, Step 1'!Q15</f>
        <v>395536.5</v>
      </c>
      <c r="S15" s="46">
        <f>+R15+'Option 3, Step 1'!S15-'Option 3, Step 1'!R15</f>
        <v>395724</v>
      </c>
      <c r="T15" s="46">
        <f>+S15+'Option 3, Step 1'!T15-'Option 3, Step 1'!S15</f>
        <v>395911.5</v>
      </c>
      <c r="U15" s="46">
        <f>+T15+'Option 3, Step 1'!U15-'Option 3, Step 1'!T15</f>
        <v>396099</v>
      </c>
      <c r="V15" s="46">
        <f>+U15+'Option 3, Step 1'!V15-'Option 3, Step 1'!U15</f>
        <v>396286.5</v>
      </c>
      <c r="W15" s="46">
        <f>+V15+'Option 3, Step 1'!W15-'Option 3, Step 1'!V15</f>
        <v>396474</v>
      </c>
      <c r="X15" s="46">
        <f>+W15+'Option 3, Step 1'!X15-'Option 3, Step 1'!W15</f>
        <v>396661.5</v>
      </c>
      <c r="Y15" s="46">
        <f>+X15+'Option 3, Step 1'!Y15-'Option 3, Step 1'!X15</f>
        <v>396849</v>
      </c>
      <c r="Z15" s="46">
        <f>+Y15+'Option 3, Step 1'!Z15-'Option 3, Step 1'!Y15</f>
        <v>397036.5</v>
      </c>
      <c r="AA15" s="46">
        <f>+Z15+'Option 3, Step 1'!AA15-'Option 3, Step 1'!Z15</f>
        <v>397224</v>
      </c>
      <c r="AB15" s="46">
        <f>+AA15+'Option 3, Step 1'!AB15-'Option 3, Step 1'!AA15</f>
        <v>397411.5</v>
      </c>
    </row>
    <row r="16" spans="2:28" x14ac:dyDescent="0.2">
      <c r="B16" s="146" t="s">
        <v>26</v>
      </c>
      <c r="C16" s="90">
        <f>+Q16+'Option 1, Step 1'!Q17</f>
        <v>129955.06310241111</v>
      </c>
      <c r="D16" s="90">
        <f>+R16+'Option 1, Step 1'!R17</f>
        <v>138978.62598700021</v>
      </c>
      <c r="E16" s="90">
        <f>+S16+'Option 1, Step 1'!S17</f>
        <v>143112.00955203496</v>
      </c>
      <c r="F16" s="90">
        <f>+T16+'Option 1, Step 1'!T17</f>
        <v>156400.85571888491</v>
      </c>
      <c r="G16" s="90">
        <f>+U16+'Option 1, Step 1'!U17</f>
        <v>164850.39247946296</v>
      </c>
      <c r="H16" s="90">
        <f>+V16+'Option 1, Step 1'!V17</f>
        <v>173321.60282655054</v>
      </c>
      <c r="I16" s="90">
        <f>+W16+'Option 1, Step 1'!W17</f>
        <v>181537.00584389112</v>
      </c>
      <c r="J16" s="90">
        <f>+X16+'Option 1, Step 1'!X17</f>
        <v>180382.24766571389</v>
      </c>
      <c r="K16" s="90">
        <f>+Y16+'Option 1, Step 1'!Y17</f>
        <v>179335.3875873363</v>
      </c>
      <c r="L16" s="90">
        <f>+Z16+'Option 1, Step 1'!Z17</f>
        <v>178237.46760272706</v>
      </c>
      <c r="M16" s="90">
        <f>+AA16+'Option 1, Step 1'!AA17</f>
        <v>177098.76542825488</v>
      </c>
      <c r="N16" s="147">
        <f>+AB16+'Option 1, Step 1'!AB17</f>
        <v>175902.67242023011</v>
      </c>
      <c r="P16" s="45" t="s">
        <v>26</v>
      </c>
      <c r="Q16" s="46">
        <f>+'Option 2, Step 1'!AI16</f>
        <v>48500</v>
      </c>
      <c r="R16" s="46">
        <f>+Q16+'Option 3, Step 1'!R16-'Option 3, Step 1'!Q16</f>
        <v>48237.5</v>
      </c>
      <c r="S16" s="46">
        <f>+R16+'Option 3, Step 1'!S16-'Option 3, Step 1'!R16</f>
        <v>47975</v>
      </c>
      <c r="T16" s="46">
        <f>+S16+'Option 3, Step 1'!T16-'Option 3, Step 1'!S16</f>
        <v>47712.5</v>
      </c>
      <c r="U16" s="46">
        <f>+T16+'Option 3, Step 1'!U16-'Option 3, Step 1'!T16</f>
        <v>47450</v>
      </c>
      <c r="V16" s="46">
        <f>+U16+'Option 3, Step 1'!V16-'Option 3, Step 1'!U16</f>
        <v>47187.5</v>
      </c>
      <c r="W16" s="46">
        <f>+V16+'Option 3, Step 1'!W16-'Option 3, Step 1'!V16</f>
        <v>46925</v>
      </c>
      <c r="X16" s="46">
        <f>+W16+'Option 3, Step 1'!X16-'Option 3, Step 1'!W16</f>
        <v>46662.5</v>
      </c>
      <c r="Y16" s="46">
        <f>+X16+'Option 3, Step 1'!Y16-'Option 3, Step 1'!X16</f>
        <v>46400</v>
      </c>
      <c r="Z16" s="46">
        <f>+Y16+'Option 3, Step 1'!Z16-'Option 3, Step 1'!Y16</f>
        <v>46137.5</v>
      </c>
      <c r="AA16" s="46">
        <f>+Z16+'Option 3, Step 1'!AA16-'Option 3, Step 1'!Z16</f>
        <v>45875</v>
      </c>
      <c r="AB16" s="46">
        <f>+AA16+'Option 3, Step 1'!AB16-'Option 3, Step 1'!AA16</f>
        <v>45612.5</v>
      </c>
    </row>
    <row r="17" spans="2:28" x14ac:dyDescent="0.2">
      <c r="B17" s="146" t="s">
        <v>12</v>
      </c>
      <c r="C17" s="90">
        <f>+Q17+'Option 1, Step 1'!Q18</f>
        <v>455710.72068912932</v>
      </c>
      <c r="D17" s="90">
        <f>+R17+'Option 1, Step 1'!R18</f>
        <v>548409.96350808255</v>
      </c>
      <c r="E17" s="90">
        <f>+S17+'Option 1, Step 1'!S18</f>
        <v>623157.16234399518</v>
      </c>
      <c r="F17" s="90">
        <f>+T17+'Option 1, Step 1'!T18</f>
        <v>690553.60874951701</v>
      </c>
      <c r="G17" s="90">
        <f>+U17+'Option 1, Step 1'!U18</f>
        <v>736029.07243532967</v>
      </c>
      <c r="H17" s="90">
        <f>+V17+'Option 1, Step 1'!V18</f>
        <v>781623.05099739693</v>
      </c>
      <c r="I17" s="90">
        <f>+W17+'Option 1, Step 1'!W18</f>
        <v>827244.67432537558</v>
      </c>
      <c r="J17" s="90">
        <f>+X17+'Option 1, Step 1'!X18</f>
        <v>830296.4728209785</v>
      </c>
      <c r="K17" s="90">
        <f>+Y17+'Option 1, Step 1'!Y18</f>
        <v>833370.84994718072</v>
      </c>
      <c r="L17" s="90">
        <f>+Z17+'Option 1, Step 1'!Z18</f>
        <v>836637.94765385473</v>
      </c>
      <c r="M17" s="90">
        <f>+AA17+'Option 1, Step 1'!AA18</f>
        <v>838578.54291299696</v>
      </c>
      <c r="N17" s="147">
        <f>+AB17+'Option 1, Step 1'!AB18</f>
        <v>839995.11952434352</v>
      </c>
      <c r="P17" s="45" t="s">
        <v>12</v>
      </c>
      <c r="Q17" s="46">
        <f>+'Option 2, Step 1'!AI17</f>
        <v>194100</v>
      </c>
      <c r="R17" s="46">
        <f>+Q17+'Option 3, Step 1'!R17-'Option 3, Step 1'!Q17</f>
        <v>199037.5</v>
      </c>
      <c r="S17" s="46">
        <f>+R17+'Option 3, Step 1'!S17-'Option 3, Step 1'!R17</f>
        <v>203975</v>
      </c>
      <c r="T17" s="46">
        <f>+S17+'Option 3, Step 1'!T17-'Option 3, Step 1'!S17</f>
        <v>208912.5</v>
      </c>
      <c r="U17" s="46">
        <f>+T17+'Option 3, Step 1'!U17-'Option 3, Step 1'!T17</f>
        <v>213850</v>
      </c>
      <c r="V17" s="46">
        <f>+U17+'Option 3, Step 1'!V17-'Option 3, Step 1'!U17</f>
        <v>218787.5</v>
      </c>
      <c r="W17" s="46">
        <f>+V17+'Option 3, Step 1'!W17-'Option 3, Step 1'!V17</f>
        <v>223725</v>
      </c>
      <c r="X17" s="46">
        <f>+W17+'Option 3, Step 1'!X17-'Option 3, Step 1'!W17</f>
        <v>228662.5</v>
      </c>
      <c r="Y17" s="46">
        <f>+X17+'Option 3, Step 1'!Y17-'Option 3, Step 1'!X17</f>
        <v>233600</v>
      </c>
      <c r="Z17" s="46">
        <f>+Y17+'Option 3, Step 1'!Z17-'Option 3, Step 1'!Y17</f>
        <v>238537.5</v>
      </c>
      <c r="AA17" s="46">
        <f>+Z17+'Option 3, Step 1'!AA17-'Option 3, Step 1'!Z17</f>
        <v>243475</v>
      </c>
      <c r="AB17" s="46">
        <f>+AA17+'Option 3, Step 1'!AB17-'Option 3, Step 1'!AA17</f>
        <v>248412.5</v>
      </c>
    </row>
    <row r="18" spans="2:28" x14ac:dyDescent="0.2">
      <c r="B18" s="146" t="s">
        <v>13</v>
      </c>
      <c r="C18" s="90">
        <f>+Q18+'Option 1, Step 1'!Q19</f>
        <v>277600.5193895307</v>
      </c>
      <c r="D18" s="90">
        <f>+R18+'Option 1, Step 1'!R19</f>
        <v>262222.77014529268</v>
      </c>
      <c r="E18" s="90">
        <f>+S18+'Option 1, Step 1'!S19</f>
        <v>239833.61561236414</v>
      </c>
      <c r="F18" s="90">
        <f>+T18+'Option 1, Step 1'!T19</f>
        <v>256189.35368387174</v>
      </c>
      <c r="G18" s="90">
        <f>+U18+'Option 1, Step 1'!U19</f>
        <v>268046.6947667299</v>
      </c>
      <c r="H18" s="90">
        <f>+V18+'Option 1, Step 1'!V19</f>
        <v>280140.97922417294</v>
      </c>
      <c r="I18" s="90">
        <f>+W18+'Option 1, Step 1'!W19</f>
        <v>292450.84194067342</v>
      </c>
      <c r="J18" s="90">
        <f>+X18+'Option 1, Step 1'!X19</f>
        <v>294745.04609501385</v>
      </c>
      <c r="K18" s="90">
        <f>+Y18+'Option 1, Step 1'!Y19</f>
        <v>296979.51780619228</v>
      </c>
      <c r="L18" s="90">
        <f>+Z18+'Option 1, Step 1'!Z19</f>
        <v>299211.82787770277</v>
      </c>
      <c r="M18" s="90">
        <f>+AA18+'Option 1, Step 1'!AA19</f>
        <v>301424.1077504952</v>
      </c>
      <c r="N18" s="147">
        <f>+AB18+'Option 1, Step 1'!AB19</f>
        <v>303616.23800586385</v>
      </c>
      <c r="P18" s="45" t="s">
        <v>13</v>
      </c>
      <c r="Q18" s="46">
        <f>+'Option 2, Step 1'!AI18</f>
        <v>143300</v>
      </c>
      <c r="R18" s="46">
        <f>+Q18+'Option 3, Step 1'!R18-'Option 3, Step 1'!Q18</f>
        <v>143737.5</v>
      </c>
      <c r="S18" s="46">
        <f>+R18+'Option 3, Step 1'!S18-'Option 3, Step 1'!R18</f>
        <v>144175</v>
      </c>
      <c r="T18" s="46">
        <f>+S18+'Option 3, Step 1'!T18-'Option 3, Step 1'!S18</f>
        <v>144612.5</v>
      </c>
      <c r="U18" s="46">
        <f>+T18+'Option 3, Step 1'!U18-'Option 3, Step 1'!T18</f>
        <v>145050</v>
      </c>
      <c r="V18" s="46">
        <f>+U18+'Option 3, Step 1'!V18-'Option 3, Step 1'!U18</f>
        <v>145487.5</v>
      </c>
      <c r="W18" s="46">
        <f>+V18+'Option 3, Step 1'!W18-'Option 3, Step 1'!V18</f>
        <v>145925</v>
      </c>
      <c r="X18" s="46">
        <f>+W18+'Option 3, Step 1'!X18-'Option 3, Step 1'!W18</f>
        <v>146362.5</v>
      </c>
      <c r="Y18" s="46">
        <f>+X18+'Option 3, Step 1'!Y18-'Option 3, Step 1'!X18</f>
        <v>146800</v>
      </c>
      <c r="Z18" s="46">
        <f>+Y18+'Option 3, Step 1'!Z18-'Option 3, Step 1'!Y18</f>
        <v>147237.5</v>
      </c>
      <c r="AA18" s="46">
        <f>+Z18+'Option 3, Step 1'!AA18-'Option 3, Step 1'!Z18</f>
        <v>147675</v>
      </c>
      <c r="AB18" s="46">
        <f>+AA18+'Option 3, Step 1'!AB18-'Option 3, Step 1'!AA18</f>
        <v>148112.5</v>
      </c>
    </row>
    <row r="19" spans="2:28" x14ac:dyDescent="0.2">
      <c r="B19" s="146" t="s">
        <v>14</v>
      </c>
      <c r="C19" s="90">
        <f>+Q19+'Option 1, Step 1'!Q20</f>
        <v>4199646.3965972764</v>
      </c>
      <c r="D19" s="90">
        <f>+R19+'Option 1, Step 1'!R20</f>
        <v>4468612.8915630486</v>
      </c>
      <c r="E19" s="90">
        <f>+S19+'Option 1, Step 1'!S20</f>
        <v>4638487.5595738031</v>
      </c>
      <c r="F19" s="90">
        <f>+T19+'Option 1, Step 1'!T20</f>
        <v>4954642.4923594221</v>
      </c>
      <c r="G19" s="90">
        <f>+U19+'Option 1, Step 1'!U20</f>
        <v>5170758.7405125918</v>
      </c>
      <c r="H19" s="90">
        <f>+V19+'Option 1, Step 1'!V20</f>
        <v>5388061.1972040217</v>
      </c>
      <c r="I19" s="90">
        <f>+W19+'Option 1, Step 1'!W20</f>
        <v>5608867.5782672819</v>
      </c>
      <c r="J19" s="90">
        <f>+X19+'Option 1, Step 1'!X20</f>
        <v>5622047.4879791327</v>
      </c>
      <c r="K19" s="90">
        <f>+Y19+'Option 1, Step 1'!Y20</f>
        <v>5635412.0706526628</v>
      </c>
      <c r="L19" s="90">
        <f>+Z19+'Option 1, Step 1'!Z20</f>
        <v>5649528.0491995187</v>
      </c>
      <c r="M19" s="90">
        <f>+AA19+'Option 1, Step 1'!AA20</f>
        <v>5662774.15933121</v>
      </c>
      <c r="N19" s="147">
        <f>+AB19+'Option 1, Step 1'!AB20</f>
        <v>5675027.6870478727</v>
      </c>
      <c r="P19" s="45" t="s">
        <v>14</v>
      </c>
      <c r="Q19" s="46">
        <f>+'Option 2, Step 1'!AI19</f>
        <v>2539480</v>
      </c>
      <c r="R19" s="46">
        <f>+Q19+'Option 3, Step 1'!R19-'Option 3, Step 1'!Q19</f>
        <v>2549380</v>
      </c>
      <c r="S19" s="46">
        <f>+R19+'Option 3, Step 1'!S19-'Option 3, Step 1'!R19</f>
        <v>2559280</v>
      </c>
      <c r="T19" s="46">
        <f>+S19+'Option 3, Step 1'!T19-'Option 3, Step 1'!S19</f>
        <v>2569180</v>
      </c>
      <c r="U19" s="46">
        <f>+T19+'Option 3, Step 1'!U19-'Option 3, Step 1'!T19</f>
        <v>2579080</v>
      </c>
      <c r="V19" s="46">
        <f>+U19+'Option 3, Step 1'!V19-'Option 3, Step 1'!U19</f>
        <v>2588980</v>
      </c>
      <c r="W19" s="46">
        <f>+V19+'Option 3, Step 1'!W19-'Option 3, Step 1'!V19</f>
        <v>2598880</v>
      </c>
      <c r="X19" s="46">
        <f>+W19+'Option 3, Step 1'!X19-'Option 3, Step 1'!W19</f>
        <v>2608780</v>
      </c>
      <c r="Y19" s="46">
        <f>+X19+'Option 3, Step 1'!Y19-'Option 3, Step 1'!X19</f>
        <v>2618680</v>
      </c>
      <c r="Z19" s="46">
        <f>+Y19+'Option 3, Step 1'!Z19-'Option 3, Step 1'!Y19</f>
        <v>2628580</v>
      </c>
      <c r="AA19" s="46">
        <f>+Z19+'Option 3, Step 1'!AA19-'Option 3, Step 1'!Z19</f>
        <v>2638480</v>
      </c>
      <c r="AB19" s="46">
        <f>+AA19+'Option 3, Step 1'!AB19-'Option 3, Step 1'!AA19</f>
        <v>2648380</v>
      </c>
    </row>
    <row r="20" spans="2:28" x14ac:dyDescent="0.2">
      <c r="B20" s="146" t="s">
        <v>15</v>
      </c>
      <c r="C20" s="90">
        <f>+Q20+'Option 1, Step 1'!Q21</f>
        <v>129733.1137656167</v>
      </c>
      <c r="D20" s="90">
        <f>+R20+'Option 1, Step 1'!R21</f>
        <v>134439.60670330978</v>
      </c>
      <c r="E20" s="90">
        <f>+S20+'Option 1, Step 1'!S21</f>
        <v>135623.63387799144</v>
      </c>
      <c r="F20" s="90">
        <f>+T20+'Option 1, Step 1'!T21</f>
        <v>146356.36178222648</v>
      </c>
      <c r="G20" s="90">
        <f>+U20+'Option 1, Step 1'!U21</f>
        <v>153664.94471303932</v>
      </c>
      <c r="H20" s="90">
        <f>+V20+'Option 1, Step 1'!V21</f>
        <v>160632.31571307409</v>
      </c>
      <c r="I20" s="90">
        <f>+W20+'Option 1, Step 1'!W21</f>
        <v>167132.9897169272</v>
      </c>
      <c r="J20" s="90">
        <f>+X20+'Option 1, Step 1'!X21</f>
        <v>167475.15730988863</v>
      </c>
      <c r="K20" s="90">
        <f>+Y20+'Option 1, Step 1'!Y21</f>
        <v>167878.62371258769</v>
      </c>
      <c r="L20" s="90">
        <f>+Z20+'Option 1, Step 1'!Z21</f>
        <v>168408.26387682039</v>
      </c>
      <c r="M20" s="90">
        <f>+AA20+'Option 1, Step 1'!AA21</f>
        <v>169007.46577172977</v>
      </c>
      <c r="N20" s="147">
        <f>+AB20+'Option 1, Step 1'!AB21</f>
        <v>169614.31223185454</v>
      </c>
      <c r="P20" s="45" t="s">
        <v>15</v>
      </c>
      <c r="Q20" s="46">
        <f>+'Option 2, Step 1'!AI20</f>
        <v>68700</v>
      </c>
      <c r="R20" s="46">
        <f>+Q20+'Option 3, Step 1'!R20-'Option 3, Step 1'!Q20</f>
        <v>70075.000000000015</v>
      </c>
      <c r="S20" s="46">
        <f>+R20+'Option 3, Step 1'!S20-'Option 3, Step 1'!R20</f>
        <v>71450.000000000015</v>
      </c>
      <c r="T20" s="46">
        <f>+S20+'Option 3, Step 1'!T20-'Option 3, Step 1'!S20</f>
        <v>72825.000000000029</v>
      </c>
      <c r="U20" s="46">
        <f>+T20+'Option 3, Step 1'!U20-'Option 3, Step 1'!T20</f>
        <v>74200.000000000044</v>
      </c>
      <c r="V20" s="46">
        <f>+U20+'Option 3, Step 1'!V20-'Option 3, Step 1'!U20</f>
        <v>75575.000000000058</v>
      </c>
      <c r="W20" s="46">
        <f>+V20+'Option 3, Step 1'!W20-'Option 3, Step 1'!V20</f>
        <v>76950.000000000058</v>
      </c>
      <c r="X20" s="46">
        <f>+W20+'Option 3, Step 1'!X20-'Option 3, Step 1'!W20</f>
        <v>78325.000000000058</v>
      </c>
      <c r="Y20" s="46">
        <f>+X20+'Option 3, Step 1'!Y20-'Option 3, Step 1'!X20</f>
        <v>79700.000000000073</v>
      </c>
      <c r="Z20" s="46">
        <f>+Y20+'Option 3, Step 1'!Z20-'Option 3, Step 1'!Y20</f>
        <v>81075.000000000087</v>
      </c>
      <c r="AA20" s="46">
        <f>+Z20+'Option 3, Step 1'!AA20-'Option 3, Step 1'!Z20</f>
        <v>82450.000000000102</v>
      </c>
      <c r="AB20" s="46">
        <f>+AA20+'Option 3, Step 1'!AB20-'Option 3, Step 1'!AA20</f>
        <v>83825.000000000116</v>
      </c>
    </row>
    <row r="21" spans="2:28" x14ac:dyDescent="0.2">
      <c r="B21" s="146" t="s">
        <v>16</v>
      </c>
      <c r="C21" s="90">
        <f>+Q21+'Option 1, Step 1'!Q22</f>
        <v>27710.739275892287</v>
      </c>
      <c r="D21" s="90">
        <f>+R21+'Option 1, Step 1'!R22</f>
        <v>27565.873691215842</v>
      </c>
      <c r="E21" s="90">
        <f>+S21+'Option 1, Step 1'!S22</f>
        <v>26381.042535086184</v>
      </c>
      <c r="F21" s="90">
        <f>+T21+'Option 1, Step 1'!T22</f>
        <v>29026.133781496319</v>
      </c>
      <c r="G21" s="90">
        <f>+U21+'Option 1, Step 1'!U22</f>
        <v>30994.929278171723</v>
      </c>
      <c r="H21" s="90">
        <f>+V21+'Option 1, Step 1'!V22</f>
        <v>33007.385724579755</v>
      </c>
      <c r="I21" s="90">
        <f>+W21+'Option 1, Step 1'!W22</f>
        <v>35066.193641383681</v>
      </c>
      <c r="J21" s="90">
        <f>+X21+'Option 1, Step 1'!X22</f>
        <v>35558.820154839617</v>
      </c>
      <c r="K21" s="90">
        <f>+Y21+'Option 1, Step 1'!Y22</f>
        <v>36046.601566098187</v>
      </c>
      <c r="L21" s="90">
        <f>+Z21+'Option 1, Step 1'!Z22</f>
        <v>36519.478471002454</v>
      </c>
      <c r="M21" s="90">
        <f>+AA21+'Option 1, Step 1'!AA22</f>
        <v>36992.353878690956</v>
      </c>
      <c r="N21" s="147">
        <f>+AB21+'Option 1, Step 1'!AB22</f>
        <v>37453.81273735709</v>
      </c>
      <c r="P21" s="45" t="s">
        <v>16</v>
      </c>
      <c r="Q21" s="46">
        <f>+'Option 2, Step 1'!AI21</f>
        <v>11200</v>
      </c>
      <c r="R21" s="46">
        <f>+Q21+'Option 3, Step 1'!R21-'Option 3, Step 1'!Q21</f>
        <v>11450</v>
      </c>
      <c r="S21" s="46">
        <f>+R21+'Option 3, Step 1'!S21-'Option 3, Step 1'!R21</f>
        <v>11700</v>
      </c>
      <c r="T21" s="46">
        <f>+S21+'Option 3, Step 1'!T21-'Option 3, Step 1'!S21</f>
        <v>11950</v>
      </c>
      <c r="U21" s="46">
        <f>+T21+'Option 3, Step 1'!U21-'Option 3, Step 1'!T21</f>
        <v>12200</v>
      </c>
      <c r="V21" s="46">
        <f>+U21+'Option 3, Step 1'!V21-'Option 3, Step 1'!U21</f>
        <v>12450</v>
      </c>
      <c r="W21" s="46">
        <f>+V21+'Option 3, Step 1'!W21-'Option 3, Step 1'!V21</f>
        <v>12700</v>
      </c>
      <c r="X21" s="46">
        <f>+W21+'Option 3, Step 1'!X21-'Option 3, Step 1'!W21</f>
        <v>12950</v>
      </c>
      <c r="Y21" s="46">
        <f>+X21+'Option 3, Step 1'!Y21-'Option 3, Step 1'!X21</f>
        <v>13200</v>
      </c>
      <c r="Z21" s="46">
        <f>+Y21+'Option 3, Step 1'!Z21-'Option 3, Step 1'!Y21</f>
        <v>13450</v>
      </c>
      <c r="AA21" s="46">
        <f>+Z21+'Option 3, Step 1'!AA21-'Option 3, Step 1'!Z21</f>
        <v>13700</v>
      </c>
      <c r="AB21" s="46">
        <f>+AA21+'Option 3, Step 1'!AB21-'Option 3, Step 1'!AA21</f>
        <v>13950</v>
      </c>
    </row>
    <row r="22" spans="2:28" x14ac:dyDescent="0.2">
      <c r="B22" s="146" t="s">
        <v>17</v>
      </c>
      <c r="C22" s="90">
        <f>+Q22+'Option 1, Step 1'!Q23</f>
        <v>91043.678662896549</v>
      </c>
      <c r="D22" s="90">
        <f>+R22+'Option 1, Step 1'!R23</f>
        <v>104822.36297045584</v>
      </c>
      <c r="E22" s="90">
        <f>+S22+'Option 1, Step 1'!S23</f>
        <v>115044.95331773677</v>
      </c>
      <c r="F22" s="90">
        <f>+T22+'Option 1, Step 1'!T23</f>
        <v>126296.84463427155</v>
      </c>
      <c r="G22" s="90">
        <f>+U22+'Option 1, Step 1'!U23</f>
        <v>133357.50212353223</v>
      </c>
      <c r="H22" s="90">
        <f>+V22+'Option 1, Step 1'!V23</f>
        <v>140193.87982426089</v>
      </c>
      <c r="I22" s="90">
        <f>+W22+'Option 1, Step 1'!W23</f>
        <v>146680.78847377162</v>
      </c>
      <c r="J22" s="90">
        <f>+X22+'Option 1, Step 1'!X23</f>
        <v>146072.23056120114</v>
      </c>
      <c r="K22" s="90">
        <f>+Y22+'Option 1, Step 1'!Y23</f>
        <v>145466.29483215156</v>
      </c>
      <c r="L22" s="90">
        <f>+Z22+'Option 1, Step 1'!Z23</f>
        <v>144817.18832384609</v>
      </c>
      <c r="M22" s="90">
        <f>+AA22+'Option 1, Step 1'!AA23</f>
        <v>144125.40292746818</v>
      </c>
      <c r="N22" s="147">
        <f>+AB22+'Option 1, Step 1'!AB23</f>
        <v>143407.90959603532</v>
      </c>
      <c r="P22" s="45" t="s">
        <v>17</v>
      </c>
      <c r="Q22" s="46">
        <f>+'Option 2, Step 1'!AI22</f>
        <v>37900</v>
      </c>
      <c r="R22" s="46">
        <f>+Q22+'Option 3, Step 1'!R22-'Option 3, Step 1'!Q22</f>
        <v>38387.5</v>
      </c>
      <c r="S22" s="46">
        <f>+R22+'Option 3, Step 1'!S22-'Option 3, Step 1'!R22</f>
        <v>38875</v>
      </c>
      <c r="T22" s="46">
        <f>+S22+'Option 3, Step 1'!T22-'Option 3, Step 1'!S22</f>
        <v>39362.5</v>
      </c>
      <c r="U22" s="46">
        <f>+T22+'Option 3, Step 1'!U22-'Option 3, Step 1'!T22</f>
        <v>39850</v>
      </c>
      <c r="V22" s="46">
        <f>+U22+'Option 3, Step 1'!V22-'Option 3, Step 1'!U22</f>
        <v>40337.5</v>
      </c>
      <c r="W22" s="46">
        <f>+V22+'Option 3, Step 1'!W22-'Option 3, Step 1'!V22</f>
        <v>40825</v>
      </c>
      <c r="X22" s="46">
        <f>+W22+'Option 3, Step 1'!X22-'Option 3, Step 1'!W22</f>
        <v>41312.5</v>
      </c>
      <c r="Y22" s="46">
        <f>+X22+'Option 3, Step 1'!Y22-'Option 3, Step 1'!X22</f>
        <v>41800</v>
      </c>
      <c r="Z22" s="46">
        <f>+Y22+'Option 3, Step 1'!Z22-'Option 3, Step 1'!Y22</f>
        <v>42287.5</v>
      </c>
      <c r="AA22" s="46">
        <f>+Z22+'Option 3, Step 1'!AA22-'Option 3, Step 1'!Z22</f>
        <v>42775</v>
      </c>
      <c r="AB22" s="46">
        <f>+AA22+'Option 3, Step 1'!AB22-'Option 3, Step 1'!AA22</f>
        <v>43262.5</v>
      </c>
    </row>
    <row r="23" spans="2:28" x14ac:dyDescent="0.2">
      <c r="B23" s="146" t="s">
        <v>18</v>
      </c>
      <c r="C23" s="90">
        <f>+Q23+'Option 1, Step 1'!Q24</f>
        <v>33983.751285725157</v>
      </c>
      <c r="D23" s="90">
        <f>+R23+'Option 1, Step 1'!R24</f>
        <v>34746.512087209274</v>
      </c>
      <c r="E23" s="90">
        <f>+S23+'Option 1, Step 1'!S24</f>
        <v>34707.859599404808</v>
      </c>
      <c r="F23" s="90">
        <f>+T23+'Option 1, Step 1'!T24</f>
        <v>37566.95409130113</v>
      </c>
      <c r="G23" s="90">
        <f>+U23+'Option 1, Step 1'!U24</f>
        <v>39732.70423107392</v>
      </c>
      <c r="H23" s="90">
        <f>+V23+'Option 1, Step 1'!V24</f>
        <v>41911.478939622008</v>
      </c>
      <c r="I23" s="90">
        <f>+W23+'Option 1, Step 1'!W24</f>
        <v>44086.202367937658</v>
      </c>
      <c r="J23" s="90">
        <f>+X23+'Option 1, Step 1'!X24</f>
        <v>44754.205021250964</v>
      </c>
      <c r="K23" s="90">
        <f>+Y23+'Option 1, Step 1'!Y24</f>
        <v>45440.032146166253</v>
      </c>
      <c r="L23" s="90">
        <f>+Z23+'Option 1, Step 1'!Z24</f>
        <v>46133.549816417268</v>
      </c>
      <c r="M23" s="90">
        <f>+AA23+'Option 1, Step 1'!AA24</f>
        <v>46826.196530693305</v>
      </c>
      <c r="N23" s="147">
        <f>+AB23+'Option 1, Step 1'!AB24</f>
        <v>47537.280882292565</v>
      </c>
      <c r="P23" s="45" t="s">
        <v>18</v>
      </c>
      <c r="Q23" s="46">
        <f>+'Option 2, Step 1'!AI23</f>
        <v>19725</v>
      </c>
      <c r="R23" s="46">
        <f>+Q23+'Option 3, Step 1'!R23-'Option 3, Step 1'!Q23</f>
        <v>20200</v>
      </c>
      <c r="S23" s="46">
        <f>+R23+'Option 3, Step 1'!S23-'Option 3, Step 1'!R23</f>
        <v>20675</v>
      </c>
      <c r="T23" s="46">
        <f>+S23+'Option 3, Step 1'!T23-'Option 3, Step 1'!S23</f>
        <v>21150</v>
      </c>
      <c r="U23" s="46">
        <f>+T23+'Option 3, Step 1'!U23-'Option 3, Step 1'!T23</f>
        <v>21625</v>
      </c>
      <c r="V23" s="46">
        <f>+U23+'Option 3, Step 1'!V23-'Option 3, Step 1'!U23</f>
        <v>22100</v>
      </c>
      <c r="W23" s="46">
        <f>+V23+'Option 3, Step 1'!W23-'Option 3, Step 1'!V23</f>
        <v>22575</v>
      </c>
      <c r="X23" s="46">
        <f>+W23+'Option 3, Step 1'!X23-'Option 3, Step 1'!W23</f>
        <v>23050</v>
      </c>
      <c r="Y23" s="46">
        <f>+X23+'Option 3, Step 1'!Y23-'Option 3, Step 1'!X23</f>
        <v>23525</v>
      </c>
      <c r="Z23" s="46">
        <f>+Y23+'Option 3, Step 1'!Z23-'Option 3, Step 1'!Y23</f>
        <v>24000</v>
      </c>
      <c r="AA23" s="46">
        <f>+Z23+'Option 3, Step 1'!AA23-'Option 3, Step 1'!Z23</f>
        <v>24475</v>
      </c>
      <c r="AB23" s="46">
        <f>+AA23+'Option 3, Step 1'!AB23-'Option 3, Step 1'!AA23</f>
        <v>24950</v>
      </c>
    </row>
    <row r="24" spans="2:28" x14ac:dyDescent="0.2">
      <c r="B24" s="146" t="s">
        <v>19</v>
      </c>
      <c r="C24" s="90">
        <f>+Q24+'Option 1, Step 1'!Q25</f>
        <v>1622119.4904624859</v>
      </c>
      <c r="D24" s="90">
        <f>+R24+'Option 1, Step 1'!R25</f>
        <v>1700857.0200571017</v>
      </c>
      <c r="E24" s="90">
        <f>+S24+'Option 1, Step 1'!S25</f>
        <v>1740677.8393383548</v>
      </c>
      <c r="F24" s="90">
        <f>+T24+'Option 1, Step 1'!T25</f>
        <v>1869116.6902488857</v>
      </c>
      <c r="G24" s="90">
        <f>+U24+'Option 1, Step 1'!U25</f>
        <v>1960298.7009536684</v>
      </c>
      <c r="H24" s="90">
        <f>+V24+'Option 1, Step 1'!V25</f>
        <v>2052158.2546980565</v>
      </c>
      <c r="I24" s="90">
        <f>+W24+'Option 1, Step 1'!W25</f>
        <v>2144162.9862613035</v>
      </c>
      <c r="J24" s="90">
        <f>+X24+'Option 1, Step 1'!X25</f>
        <v>2159460.1552858795</v>
      </c>
      <c r="K24" s="90">
        <f>+Y24+'Option 1, Step 1'!Y25</f>
        <v>2174632.7664649785</v>
      </c>
      <c r="L24" s="90">
        <f>+Z24+'Option 1, Step 1'!Z25</f>
        <v>2189748.9866556181</v>
      </c>
      <c r="M24" s="90">
        <f>+AA24+'Option 1, Step 1'!AA25</f>
        <v>2205070.1233413005</v>
      </c>
      <c r="N24" s="147">
        <f>+AB24+'Option 1, Step 1'!AB25</f>
        <v>2220573.5795630803</v>
      </c>
      <c r="P24" s="45" t="s">
        <v>19</v>
      </c>
      <c r="Q24" s="46">
        <f>+'Option 2, Step 1'!AI24</f>
        <v>953920</v>
      </c>
      <c r="R24" s="46">
        <f>+Q24+'Option 3, Step 1'!R24-'Option 3, Step 1'!Q24</f>
        <v>968070</v>
      </c>
      <c r="S24" s="46">
        <f>+R24+'Option 3, Step 1'!S24-'Option 3, Step 1'!R24</f>
        <v>982220</v>
      </c>
      <c r="T24" s="46">
        <f>+S24+'Option 3, Step 1'!T24-'Option 3, Step 1'!S24</f>
        <v>996370</v>
      </c>
      <c r="U24" s="46">
        <f>+T24+'Option 3, Step 1'!U24-'Option 3, Step 1'!T24</f>
        <v>1010520</v>
      </c>
      <c r="V24" s="46">
        <f>+U24+'Option 3, Step 1'!V24-'Option 3, Step 1'!U24</f>
        <v>1024670</v>
      </c>
      <c r="W24" s="46">
        <f>+V24+'Option 3, Step 1'!W24-'Option 3, Step 1'!V24</f>
        <v>1038820</v>
      </c>
      <c r="X24" s="46">
        <f>+W24+'Option 3, Step 1'!X24-'Option 3, Step 1'!W24</f>
        <v>1052970</v>
      </c>
      <c r="Y24" s="46">
        <f>+X24+'Option 3, Step 1'!Y24-'Option 3, Step 1'!X24</f>
        <v>1067120</v>
      </c>
      <c r="Z24" s="46">
        <f>+Y24+'Option 3, Step 1'!Z24-'Option 3, Step 1'!Y24</f>
        <v>1081270</v>
      </c>
      <c r="AA24" s="46">
        <f>+Z24+'Option 3, Step 1'!AA24-'Option 3, Step 1'!Z24</f>
        <v>1095420</v>
      </c>
      <c r="AB24" s="46">
        <f>+AA24+'Option 3, Step 1'!AB24-'Option 3, Step 1'!AA24</f>
        <v>1109570</v>
      </c>
    </row>
    <row r="25" spans="2:28" x14ac:dyDescent="0.2">
      <c r="B25" s="146" t="s">
        <v>20</v>
      </c>
      <c r="C25" s="90">
        <f>+Q25+'Option 1, Step 1'!Q26</f>
        <v>1848978.0150509989</v>
      </c>
      <c r="D25" s="90">
        <f>+R25+'Option 1, Step 1'!R26</f>
        <v>2223115.1841275492</v>
      </c>
      <c r="E25" s="90">
        <f>+S25+'Option 1, Step 1'!S26</f>
        <v>2534831.6305154739</v>
      </c>
      <c r="F25" s="90">
        <f>+T25+'Option 1, Step 1'!T26</f>
        <v>2777985.5820637271</v>
      </c>
      <c r="G25" s="90">
        <f>+U25+'Option 1, Step 1'!U26</f>
        <v>2943437.8393726405</v>
      </c>
      <c r="H25" s="90">
        <f>+V25+'Option 1, Step 1'!V26</f>
        <v>3107813.3922581738</v>
      </c>
      <c r="I25" s="90">
        <f>+W25+'Option 1, Step 1'!W26</f>
        <v>3271283.2320474032</v>
      </c>
      <c r="J25" s="90">
        <f>+X25+'Option 1, Step 1'!X26</f>
        <v>3286568.7669348717</v>
      </c>
      <c r="K25" s="90">
        <f>+Y25+'Option 1, Step 1'!Y26</f>
        <v>3301677.0351904193</v>
      </c>
      <c r="L25" s="90">
        <f>+Z25+'Option 1, Step 1'!Z26</f>
        <v>3317630.9590657176</v>
      </c>
      <c r="M25" s="90">
        <f>+AA25+'Option 1, Step 1'!AA26</f>
        <v>3332453.5634384258</v>
      </c>
      <c r="N25" s="147">
        <f>+AB25+'Option 1, Step 1'!AB26</f>
        <v>3347071.504283377</v>
      </c>
      <c r="P25" s="45" t="s">
        <v>20</v>
      </c>
      <c r="Q25" s="46">
        <f>+'Option 2, Step 1'!AI25</f>
        <v>994600</v>
      </c>
      <c r="R25" s="46">
        <f>+Q25+'Option 3, Step 1'!R25-'Option 3, Step 1'!Q25</f>
        <v>1018375</v>
      </c>
      <c r="S25" s="46">
        <f>+R25+'Option 3, Step 1'!S25-'Option 3, Step 1'!R25</f>
        <v>1042150</v>
      </c>
      <c r="T25" s="46">
        <f>+S25+'Option 3, Step 1'!T25-'Option 3, Step 1'!S25</f>
        <v>1065925</v>
      </c>
      <c r="U25" s="46">
        <f>+T25+'Option 3, Step 1'!U25-'Option 3, Step 1'!T25</f>
        <v>1089700</v>
      </c>
      <c r="V25" s="46">
        <f>+U25+'Option 3, Step 1'!V25-'Option 3, Step 1'!U25</f>
        <v>1113475</v>
      </c>
      <c r="W25" s="46">
        <f>+V25+'Option 3, Step 1'!W25-'Option 3, Step 1'!V25</f>
        <v>1137250</v>
      </c>
      <c r="X25" s="46">
        <f>+W25+'Option 3, Step 1'!X25-'Option 3, Step 1'!W25</f>
        <v>1161025</v>
      </c>
      <c r="Y25" s="46">
        <f>+X25+'Option 3, Step 1'!Y25-'Option 3, Step 1'!X25</f>
        <v>1184800</v>
      </c>
      <c r="Z25" s="46">
        <f>+Y25+'Option 3, Step 1'!Z25-'Option 3, Step 1'!Y25</f>
        <v>1208575</v>
      </c>
      <c r="AA25" s="46">
        <f>+Z25+'Option 3, Step 1'!AA25-'Option 3, Step 1'!Z25</f>
        <v>1232350</v>
      </c>
      <c r="AB25" s="46">
        <f>+AA25+'Option 3, Step 1'!AB25-'Option 3, Step 1'!AA25</f>
        <v>1256125</v>
      </c>
    </row>
    <row r="26" spans="2:28" x14ac:dyDescent="0.2">
      <c r="B26" s="146" t="s">
        <v>21</v>
      </c>
      <c r="C26" s="90">
        <f>+Q26+'Option 1, Step 1'!Q27</f>
        <v>579931.57196259848</v>
      </c>
      <c r="D26" s="90">
        <f>+R26+'Option 1, Step 1'!R27</f>
        <v>628494.49109575257</v>
      </c>
      <c r="E26" s="90">
        <f>+S26+'Option 1, Step 1'!S27</f>
        <v>658890.76669943368</v>
      </c>
      <c r="F26" s="90">
        <f>+T26+'Option 1, Step 1'!T27</f>
        <v>716973.17898930598</v>
      </c>
      <c r="G26" s="90">
        <f>+U26+'Option 1, Step 1'!U27</f>
        <v>757088.7266053264</v>
      </c>
      <c r="H26" s="90">
        <f>+V26+'Option 1, Step 1'!V27</f>
        <v>796592.45960857079</v>
      </c>
      <c r="I26" s="90">
        <f>+W26+'Option 1, Step 1'!W27</f>
        <v>835638.89548028016</v>
      </c>
      <c r="J26" s="90">
        <f>+X26+'Option 1, Step 1'!X27</f>
        <v>838250.30357026309</v>
      </c>
      <c r="K26" s="90">
        <f>+Y26+'Option 1, Step 1'!Y27</f>
        <v>840626.40244386857</v>
      </c>
      <c r="L26" s="90">
        <f>+Z26+'Option 1, Step 1'!Z27</f>
        <v>842957.84487548727</v>
      </c>
      <c r="M26" s="90">
        <f>+AA26+'Option 1, Step 1'!AA27</f>
        <v>845802.12898523698</v>
      </c>
      <c r="N26" s="147">
        <f>+AB26+'Option 1, Step 1'!AB27</f>
        <v>848582.68075176189</v>
      </c>
      <c r="P26" s="45" t="s">
        <v>21</v>
      </c>
      <c r="Q26" s="46">
        <f>+'Option 2, Step 1'!AI26</f>
        <v>289000</v>
      </c>
      <c r="R26" s="46">
        <f>+Q26+'Option 3, Step 1'!R26-'Option 3, Step 1'!Q26</f>
        <v>293387.5</v>
      </c>
      <c r="S26" s="46">
        <f>+R26+'Option 3, Step 1'!S26-'Option 3, Step 1'!R26</f>
        <v>297775</v>
      </c>
      <c r="T26" s="46">
        <f>+S26+'Option 3, Step 1'!T26-'Option 3, Step 1'!S26</f>
        <v>302162.5</v>
      </c>
      <c r="U26" s="46">
        <f>+T26+'Option 3, Step 1'!U26-'Option 3, Step 1'!T26</f>
        <v>306550</v>
      </c>
      <c r="V26" s="46">
        <f>+U26+'Option 3, Step 1'!V26-'Option 3, Step 1'!U26</f>
        <v>310937.5</v>
      </c>
      <c r="W26" s="46">
        <f>+V26+'Option 3, Step 1'!W26-'Option 3, Step 1'!V26</f>
        <v>315325</v>
      </c>
      <c r="X26" s="46">
        <f>+W26+'Option 3, Step 1'!X26-'Option 3, Step 1'!W26</f>
        <v>319712.5</v>
      </c>
      <c r="Y26" s="46">
        <f>+X26+'Option 3, Step 1'!Y26-'Option 3, Step 1'!X26</f>
        <v>324100</v>
      </c>
      <c r="Z26" s="46">
        <f>+Y26+'Option 3, Step 1'!Z26-'Option 3, Step 1'!Y26</f>
        <v>328487.5</v>
      </c>
      <c r="AA26" s="46">
        <f>+Z26+'Option 3, Step 1'!AA26-'Option 3, Step 1'!Z26</f>
        <v>332875</v>
      </c>
      <c r="AB26" s="46">
        <f>+AA26+'Option 3, Step 1'!AB26-'Option 3, Step 1'!AA26</f>
        <v>337262.5</v>
      </c>
    </row>
    <row r="27" spans="2:28" x14ac:dyDescent="0.2">
      <c r="B27" s="146" t="s">
        <v>22</v>
      </c>
      <c r="C27" s="90">
        <f>+Q27+'Option 1, Step 1'!Q28</f>
        <v>1347460.2101987679</v>
      </c>
      <c r="D27" s="90">
        <f>+R27+'Option 1, Step 1'!R28</f>
        <v>1425516.379167079</v>
      </c>
      <c r="E27" s="90">
        <f>+S27+'Option 1, Step 1'!S28</f>
        <v>1474035.3358087658</v>
      </c>
      <c r="F27" s="90">
        <f>+T27+'Option 1, Step 1'!T28</f>
        <v>1563256.5989311733</v>
      </c>
      <c r="G27" s="90">
        <f>+U27+'Option 1, Step 1'!U28</f>
        <v>1620975.1845452634</v>
      </c>
      <c r="H27" s="90">
        <f>+V27+'Option 1, Step 1'!V28</f>
        <v>1677653.2058831006</v>
      </c>
      <c r="I27" s="90">
        <f>+W27+'Option 1, Step 1'!W28</f>
        <v>1730949.9530036354</v>
      </c>
      <c r="J27" s="90">
        <f>+X27+'Option 1, Step 1'!X28</f>
        <v>1725033.514253899</v>
      </c>
      <c r="K27" s="90">
        <f>+Y27+'Option 1, Step 1'!Y28</f>
        <v>1719436.697195451</v>
      </c>
      <c r="L27" s="90">
        <f>+Z27+'Option 1, Step 1'!Z28</f>
        <v>1714236.2832134855</v>
      </c>
      <c r="M27" s="90">
        <f>+AA27+'Option 1, Step 1'!AA28</f>
        <v>1709093.3971020791</v>
      </c>
      <c r="N27" s="147">
        <f>+AB27+'Option 1, Step 1'!AB28</f>
        <v>1702597.7009809953</v>
      </c>
      <c r="P27" s="45" t="s">
        <v>22</v>
      </c>
      <c r="Q27" s="46">
        <f>+'Option 2, Step 1'!AI27</f>
        <v>855550</v>
      </c>
      <c r="R27" s="46">
        <f>+Q27+'Option 3, Step 1'!R27-'Option 3, Step 1'!Q27</f>
        <v>857087.5</v>
      </c>
      <c r="S27" s="46">
        <f>+R27+'Option 3, Step 1'!S27-'Option 3, Step 1'!R27</f>
        <v>858625</v>
      </c>
      <c r="T27" s="46">
        <f>+S27+'Option 3, Step 1'!T27-'Option 3, Step 1'!S27</f>
        <v>860162.5</v>
      </c>
      <c r="U27" s="46">
        <f>+T27+'Option 3, Step 1'!U27-'Option 3, Step 1'!T27</f>
        <v>861700</v>
      </c>
      <c r="V27" s="46">
        <f>+U27+'Option 3, Step 1'!V27-'Option 3, Step 1'!U27</f>
        <v>863237.5</v>
      </c>
      <c r="W27" s="46">
        <f>+V27+'Option 3, Step 1'!W27-'Option 3, Step 1'!V27</f>
        <v>864775</v>
      </c>
      <c r="X27" s="46">
        <f>+W27+'Option 3, Step 1'!X27-'Option 3, Step 1'!W27</f>
        <v>866312.5</v>
      </c>
      <c r="Y27" s="46">
        <f>+X27+'Option 3, Step 1'!Y27-'Option 3, Step 1'!X27</f>
        <v>867850</v>
      </c>
      <c r="Z27" s="46">
        <f>+Y27+'Option 3, Step 1'!Z27-'Option 3, Step 1'!Y27</f>
        <v>869387.5</v>
      </c>
      <c r="AA27" s="46">
        <f>+Z27+'Option 3, Step 1'!AA27-'Option 3, Step 1'!Z27</f>
        <v>870925</v>
      </c>
      <c r="AB27" s="46">
        <f>+AA27+'Option 3, Step 1'!AB27-'Option 3, Step 1'!AA27</f>
        <v>872462.5</v>
      </c>
    </row>
    <row r="28" spans="2:28" x14ac:dyDescent="0.2">
      <c r="B28" s="146" t="s">
        <v>23</v>
      </c>
      <c r="C28" s="90">
        <f>+Q28+'Option 1, Step 1'!Q29</f>
        <v>514838.34308778041</v>
      </c>
      <c r="D28" s="90">
        <f>+R28+'Option 1, Step 1'!R29</f>
        <v>602350.29647961201</v>
      </c>
      <c r="E28" s="90">
        <f>+S28+'Option 1, Step 1'!S29</f>
        <v>671670.76552897622</v>
      </c>
      <c r="F28" s="90">
        <f>+T28+'Option 1, Step 1'!T29</f>
        <v>740531.34725826478</v>
      </c>
      <c r="G28" s="90">
        <f>+U28+'Option 1, Step 1'!U29</f>
        <v>788703.60545800114</v>
      </c>
      <c r="H28" s="90">
        <f>+V28+'Option 1, Step 1'!V29</f>
        <v>837739.88161550579</v>
      </c>
      <c r="I28" s="90">
        <f>+W28+'Option 1, Step 1'!W29</f>
        <v>887897.0246895575</v>
      </c>
      <c r="J28" s="90">
        <f>+X28+'Option 1, Step 1'!X29</f>
        <v>893901.09225079906</v>
      </c>
      <c r="K28" s="90">
        <f>+Y28+'Option 1, Step 1'!Y29</f>
        <v>900127.40894637129</v>
      </c>
      <c r="L28" s="90">
        <f>+Z28+'Option 1, Step 1'!Z29</f>
        <v>906667.97598702949</v>
      </c>
      <c r="M28" s="90">
        <f>+AA28+'Option 1, Step 1'!AA29</f>
        <v>913552.05506152497</v>
      </c>
      <c r="N28" s="147">
        <f>+AB28+'Option 1, Step 1'!AB29</f>
        <v>920711.52012632473</v>
      </c>
      <c r="P28" s="45" t="s">
        <v>23</v>
      </c>
      <c r="Q28" s="46">
        <f>+'Option 2, Step 1'!AI28</f>
        <v>233600</v>
      </c>
      <c r="R28" s="46">
        <f>+Q28+'Option 3, Step 1'!R28-'Option 3, Step 1'!Q28</f>
        <v>234912.5</v>
      </c>
      <c r="S28" s="46">
        <f>+R28+'Option 3, Step 1'!S28-'Option 3, Step 1'!R28</f>
        <v>236225</v>
      </c>
      <c r="T28" s="46">
        <f>+S28+'Option 3, Step 1'!T28-'Option 3, Step 1'!S28</f>
        <v>237537.5</v>
      </c>
      <c r="U28" s="46">
        <f>+T28+'Option 3, Step 1'!U28-'Option 3, Step 1'!T28</f>
        <v>238850</v>
      </c>
      <c r="V28" s="46">
        <f>+U28+'Option 3, Step 1'!V28-'Option 3, Step 1'!U28</f>
        <v>240162.5</v>
      </c>
      <c r="W28" s="46">
        <f>+V28+'Option 3, Step 1'!W28-'Option 3, Step 1'!V28</f>
        <v>241475</v>
      </c>
      <c r="X28" s="46">
        <f>+W28+'Option 3, Step 1'!X28-'Option 3, Step 1'!W28</f>
        <v>242787.5</v>
      </c>
      <c r="Y28" s="46">
        <f>+X28+'Option 3, Step 1'!Y28-'Option 3, Step 1'!X28</f>
        <v>244100</v>
      </c>
      <c r="Z28" s="46">
        <f>+Y28+'Option 3, Step 1'!Z28-'Option 3, Step 1'!Y28</f>
        <v>245412.5</v>
      </c>
      <c r="AA28" s="46">
        <f>+Z28+'Option 3, Step 1'!AA28-'Option 3, Step 1'!Z28</f>
        <v>246725</v>
      </c>
      <c r="AB28" s="46">
        <f>+AA28+'Option 3, Step 1'!AB28-'Option 3, Step 1'!AA28</f>
        <v>248037.5</v>
      </c>
    </row>
    <row r="29" spans="2:28" x14ac:dyDescent="0.2">
      <c r="B29" s="146" t="s">
        <v>24</v>
      </c>
      <c r="C29" s="90">
        <f>+Q29+'Option 1, Step 1'!Q30</f>
        <v>103973.92862501081</v>
      </c>
      <c r="D29" s="90">
        <f>+R29+'Option 1, Step 1'!R30</f>
        <v>125617.47358017</v>
      </c>
      <c r="E29" s="90">
        <f>+S29+'Option 1, Step 1'!S30</f>
        <v>143987.0245518937</v>
      </c>
      <c r="F29" s="90">
        <f>+T29+'Option 1, Step 1'!T30</f>
        <v>157968.3164796193</v>
      </c>
      <c r="G29" s="90">
        <f>+U29+'Option 1, Step 1'!U30</f>
        <v>167522.49790435194</v>
      </c>
      <c r="H29" s="90">
        <f>+V29+'Option 1, Step 1'!V30</f>
        <v>177004.97622346526</v>
      </c>
      <c r="I29" s="90">
        <f>+W29+'Option 1, Step 1'!W30</f>
        <v>186357.37041562903</v>
      </c>
      <c r="J29" s="90">
        <f>+X29+'Option 1, Step 1'!X30</f>
        <v>186981.32304874825</v>
      </c>
      <c r="K29" s="90">
        <f>+Y29+'Option 1, Step 1'!Y30</f>
        <v>187720.1318347847</v>
      </c>
      <c r="L29" s="90">
        <f>+Z29+'Option 1, Step 1'!Z30</f>
        <v>188401.28459528415</v>
      </c>
      <c r="M29" s="90">
        <f>+AA29+'Option 1, Step 1'!AA30</f>
        <v>189112.49684228582</v>
      </c>
      <c r="N29" s="147">
        <f>+AB29+'Option 1, Step 1'!AB30</f>
        <v>189881.63741568176</v>
      </c>
      <c r="P29" s="45" t="s">
        <v>24</v>
      </c>
      <c r="Q29" s="46">
        <f>+'Option 2, Step 1'!AI29</f>
        <v>56700</v>
      </c>
      <c r="R29" s="46">
        <f>+Q29+'Option 3, Step 1'!R29-'Option 3, Step 1'!Q29</f>
        <v>57550</v>
      </c>
      <c r="S29" s="46">
        <f>+R29+'Option 3, Step 1'!S29-'Option 3, Step 1'!R29</f>
        <v>58400</v>
      </c>
      <c r="T29" s="46">
        <f>+S29+'Option 3, Step 1'!T29-'Option 3, Step 1'!S29</f>
        <v>59250</v>
      </c>
      <c r="U29" s="46">
        <f>+T29+'Option 3, Step 1'!U29-'Option 3, Step 1'!T29</f>
        <v>60100</v>
      </c>
      <c r="V29" s="46">
        <f>+U29+'Option 3, Step 1'!V29-'Option 3, Step 1'!U29</f>
        <v>60950</v>
      </c>
      <c r="W29" s="46">
        <f>+V29+'Option 3, Step 1'!W29-'Option 3, Step 1'!V29</f>
        <v>61800</v>
      </c>
      <c r="X29" s="46">
        <f>+W29+'Option 3, Step 1'!X29-'Option 3, Step 1'!W29</f>
        <v>62650</v>
      </c>
      <c r="Y29" s="46">
        <f>+X29+'Option 3, Step 1'!Y29-'Option 3, Step 1'!X29</f>
        <v>63500</v>
      </c>
      <c r="Z29" s="46">
        <f>+Y29+'Option 3, Step 1'!Z29-'Option 3, Step 1'!Y29</f>
        <v>64350</v>
      </c>
      <c r="AA29" s="46">
        <f>+Z29+'Option 3, Step 1'!AA29-'Option 3, Step 1'!Z29</f>
        <v>65200</v>
      </c>
      <c r="AB29" s="46">
        <f>+AA29+'Option 3, Step 1'!AB29-'Option 3, Step 1'!AA29</f>
        <v>66050</v>
      </c>
    </row>
    <row r="30" spans="2:28" ht="13.5" thickBot="1" x14ac:dyDescent="0.25">
      <c r="B30" s="148" t="s">
        <v>25</v>
      </c>
      <c r="C30" s="149">
        <f>+Q30+'Option 1, Step 1'!Q31</f>
        <v>396642.93130170344</v>
      </c>
      <c r="D30" s="149">
        <f>+R30+'Option 1, Step 1'!R31</f>
        <v>457595.87848202523</v>
      </c>
      <c r="E30" s="149">
        <f>+S30+'Option 1, Step 1'!S31</f>
        <v>508659.33434257866</v>
      </c>
      <c r="F30" s="149">
        <f>+T30+'Option 1, Step 1'!T31</f>
        <v>546457.79173560999</v>
      </c>
      <c r="G30" s="149">
        <f>+U30+'Option 1, Step 1'!U31</f>
        <v>571849.85399754834</v>
      </c>
      <c r="H30" s="149">
        <f>+V30+'Option 1, Step 1'!V31</f>
        <v>597218.29191579344</v>
      </c>
      <c r="I30" s="149">
        <f>+W30+'Option 1, Step 1'!W31</f>
        <v>622388.09647745406</v>
      </c>
      <c r="J30" s="149">
        <f>+X30+'Option 1, Step 1'!X31</f>
        <v>623164.67202858569</v>
      </c>
      <c r="K30" s="149">
        <f>+Y30+'Option 1, Step 1'!Y31</f>
        <v>623755.71466072788</v>
      </c>
      <c r="L30" s="149">
        <f>+Z30+'Option 1, Step 1'!Z31</f>
        <v>624672.98495261208</v>
      </c>
      <c r="M30" s="149">
        <f>+AA30+'Option 1, Step 1'!AA31</f>
        <v>625521.12687043729</v>
      </c>
      <c r="N30" s="150">
        <f>+AB30+'Option 1, Step 1'!AB31</f>
        <v>626838.73003991682</v>
      </c>
      <c r="P30" s="45" t="s">
        <v>25</v>
      </c>
      <c r="Q30" s="46">
        <f>+'Option 2, Step 1'!AI30</f>
        <v>265040</v>
      </c>
      <c r="R30" s="46">
        <f>+Q30+'Option 3, Step 1'!R30-'Option 3, Step 1'!Q30</f>
        <v>266952.5</v>
      </c>
      <c r="S30" s="46">
        <f>+R30+'Option 3, Step 1'!S30-'Option 3, Step 1'!R30</f>
        <v>268865</v>
      </c>
      <c r="T30" s="46">
        <f>+S30+'Option 3, Step 1'!T30-'Option 3, Step 1'!S30</f>
        <v>270777.5</v>
      </c>
      <c r="U30" s="46">
        <f>+T30+'Option 3, Step 1'!U30-'Option 3, Step 1'!T30</f>
        <v>272690</v>
      </c>
      <c r="V30" s="46">
        <f>+U30+'Option 3, Step 1'!V30-'Option 3, Step 1'!U30</f>
        <v>274602.5</v>
      </c>
      <c r="W30" s="46">
        <f>+V30+'Option 3, Step 1'!W30-'Option 3, Step 1'!V30</f>
        <v>276515</v>
      </c>
      <c r="X30" s="46">
        <f>+W30+'Option 3, Step 1'!X30-'Option 3, Step 1'!W30</f>
        <v>278427.5</v>
      </c>
      <c r="Y30" s="46">
        <f>+X30+'Option 3, Step 1'!Y30-'Option 3, Step 1'!X30</f>
        <v>280340</v>
      </c>
      <c r="Z30" s="46">
        <f>+Y30+'Option 3, Step 1'!Z30-'Option 3, Step 1'!Y30</f>
        <v>282252.5</v>
      </c>
      <c r="AA30" s="46">
        <f>+Z30+'Option 3, Step 1'!AA30-'Option 3, Step 1'!Z30</f>
        <v>284165</v>
      </c>
      <c r="AB30" s="46">
        <f>+AA30+'Option 3, Step 1'!AB30-'Option 3, Step 1'!AA30</f>
        <v>286077.5</v>
      </c>
    </row>
    <row r="32" spans="2:28" x14ac:dyDescent="0.2">
      <c r="C32" s="142" t="s">
        <v>378</v>
      </c>
    </row>
  </sheetData>
  <pageMargins left="0.7" right="0.7" top="0.75" bottom="0.75" header="0.3" footer="0.3"/>
  <pageSetup orientation="portrait" horizontalDpi="1200" verticalDpi="12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487613-AF02-44BE-B20B-EDBE4EA6664D}">
  <sheetPr>
    <tabColor rgb="FFFFC000"/>
  </sheetPr>
  <dimension ref="A1:J41"/>
  <sheetViews>
    <sheetView workbookViewId="0">
      <selection activeCell="B32" sqref="B32"/>
    </sheetView>
  </sheetViews>
  <sheetFormatPr defaultRowHeight="15" x14ac:dyDescent="0.25"/>
  <cols>
    <col min="1" max="1" width="51.42578125" style="60" customWidth="1"/>
    <col min="2" max="7" width="9.140625" style="60"/>
  </cols>
  <sheetData>
    <row r="1" spans="1:10" x14ac:dyDescent="0.25">
      <c r="A1" s="187" t="s">
        <v>421</v>
      </c>
      <c r="B1" s="187"/>
      <c r="C1" s="187"/>
      <c r="D1" s="187"/>
      <c r="E1" s="187"/>
      <c r="F1" s="163"/>
      <c r="G1" s="163"/>
      <c r="H1" s="189"/>
      <c r="I1" s="189"/>
      <c r="J1" s="189"/>
    </row>
    <row r="2" spans="1:10" x14ac:dyDescent="0.25">
      <c r="A2" s="187" t="s">
        <v>406</v>
      </c>
      <c r="B2" s="61">
        <v>436000</v>
      </c>
      <c r="D2" s="186" t="s">
        <v>418</v>
      </c>
      <c r="E2" s="60" t="s">
        <v>420</v>
      </c>
    </row>
    <row r="3" spans="1:10" x14ac:dyDescent="0.25">
      <c r="A3" s="187" t="s">
        <v>417</v>
      </c>
      <c r="B3" s="61">
        <f>+SUM(B4:B25)</f>
        <v>419000</v>
      </c>
      <c r="C3" s="61">
        <f>+SUM(C4:C25)</f>
        <v>435999.99999999988</v>
      </c>
    </row>
    <row r="4" spans="1:10" x14ac:dyDescent="0.25">
      <c r="A4" s="187" t="s">
        <v>407</v>
      </c>
      <c r="B4" s="61">
        <v>66000</v>
      </c>
      <c r="C4" s="61">
        <f>+B4</f>
        <v>66000</v>
      </c>
      <c r="E4" s="60" t="s">
        <v>422</v>
      </c>
    </row>
    <row r="5" spans="1:10" x14ac:dyDescent="0.25">
      <c r="A5" s="187" t="s">
        <v>408</v>
      </c>
      <c r="B5" s="61">
        <v>24000</v>
      </c>
      <c r="C5" s="61">
        <f>+B5</f>
        <v>24000</v>
      </c>
      <c r="D5" s="60">
        <v>1</v>
      </c>
    </row>
    <row r="6" spans="1:10" x14ac:dyDescent="0.25">
      <c r="A6" s="187" t="s">
        <v>409</v>
      </c>
      <c r="B6" s="61">
        <v>5000</v>
      </c>
      <c r="C6" s="61">
        <f>+B6</f>
        <v>5000</v>
      </c>
    </row>
    <row r="7" spans="1:10" x14ac:dyDescent="0.25">
      <c r="A7" s="187" t="s">
        <v>410</v>
      </c>
      <c r="B7" s="61">
        <v>9000</v>
      </c>
      <c r="C7" s="61">
        <f>+B7</f>
        <v>9000</v>
      </c>
    </row>
    <row r="8" spans="1:10" x14ac:dyDescent="0.25">
      <c r="A8" s="187" t="s">
        <v>411</v>
      </c>
      <c r="B8" s="61"/>
      <c r="C8" s="61">
        <f>+($B$2-$B$3)/6</f>
        <v>2833.3333333333335</v>
      </c>
    </row>
    <row r="9" spans="1:10" x14ac:dyDescent="0.25">
      <c r="A9" s="187" t="s">
        <v>412</v>
      </c>
      <c r="B9" s="61">
        <v>84000</v>
      </c>
      <c r="C9" s="61">
        <f>+B9</f>
        <v>84000</v>
      </c>
    </row>
    <row r="10" spans="1:10" x14ac:dyDescent="0.25">
      <c r="A10" s="187" t="s">
        <v>413</v>
      </c>
      <c r="B10" s="61"/>
      <c r="C10" s="61">
        <f>+($B$2-$B$3)/6</f>
        <v>2833.3333333333335</v>
      </c>
    </row>
    <row r="11" spans="1:10" x14ac:dyDescent="0.25">
      <c r="A11" s="187" t="s">
        <v>414</v>
      </c>
      <c r="B11" s="61">
        <v>5000</v>
      </c>
      <c r="C11" s="61">
        <f>+B11</f>
        <v>5000</v>
      </c>
    </row>
    <row r="12" spans="1:10" x14ac:dyDescent="0.25">
      <c r="A12" s="187" t="s">
        <v>394</v>
      </c>
      <c r="B12" s="61">
        <v>57000</v>
      </c>
      <c r="C12" s="61">
        <f>+B12</f>
        <v>57000</v>
      </c>
      <c r="E12" s="60" t="s">
        <v>428</v>
      </c>
    </row>
    <row r="13" spans="1:10" x14ac:dyDescent="0.25">
      <c r="A13" s="187" t="s">
        <v>415</v>
      </c>
      <c r="B13" s="61">
        <v>6000</v>
      </c>
      <c r="C13" s="61">
        <f>+B13</f>
        <v>6000</v>
      </c>
    </row>
    <row r="14" spans="1:10" x14ac:dyDescent="0.25">
      <c r="A14" s="187" t="s">
        <v>416</v>
      </c>
      <c r="B14" s="61">
        <v>12000</v>
      </c>
      <c r="C14" s="61">
        <f>+B14</f>
        <v>12000</v>
      </c>
    </row>
    <row r="15" spans="1:10" x14ac:dyDescent="0.25">
      <c r="A15" s="187" t="s">
        <v>395</v>
      </c>
      <c r="B15" s="61">
        <v>41000</v>
      </c>
      <c r="C15" s="61">
        <f>+B15</f>
        <v>41000</v>
      </c>
      <c r="E15" s="60" t="s">
        <v>419</v>
      </c>
    </row>
    <row r="16" spans="1:10" x14ac:dyDescent="0.25">
      <c r="A16" s="187" t="s">
        <v>396</v>
      </c>
      <c r="B16" s="61"/>
      <c r="C16" s="61">
        <f>+($B$2-$B$3)/6</f>
        <v>2833.3333333333335</v>
      </c>
    </row>
    <row r="17" spans="1:5" x14ac:dyDescent="0.25">
      <c r="A17" s="187" t="s">
        <v>398</v>
      </c>
      <c r="B17" s="61">
        <v>9000</v>
      </c>
      <c r="C17" s="61">
        <f>+B17</f>
        <v>9000</v>
      </c>
    </row>
    <row r="18" spans="1:5" x14ac:dyDescent="0.25">
      <c r="A18" s="187" t="s">
        <v>399</v>
      </c>
      <c r="B18" s="61"/>
      <c r="C18" s="61">
        <f>+($B$2-$B$3)/6</f>
        <v>2833.3333333333335</v>
      </c>
    </row>
    <row r="19" spans="1:5" x14ac:dyDescent="0.25">
      <c r="A19" s="187" t="s">
        <v>397</v>
      </c>
      <c r="B19" s="61">
        <v>38000</v>
      </c>
      <c r="C19" s="61">
        <f>+B19</f>
        <v>38000</v>
      </c>
      <c r="D19" s="60">
        <v>1</v>
      </c>
    </row>
    <row r="20" spans="1:5" x14ac:dyDescent="0.25">
      <c r="A20" s="187" t="s">
        <v>400</v>
      </c>
      <c r="B20" s="61">
        <v>17000</v>
      </c>
      <c r="C20" s="61">
        <f>+B20</f>
        <v>17000</v>
      </c>
      <c r="D20" s="60">
        <v>1</v>
      </c>
    </row>
    <row r="21" spans="1:5" x14ac:dyDescent="0.25">
      <c r="A21" s="187" t="s">
        <v>401</v>
      </c>
      <c r="B21" s="61">
        <v>9000</v>
      </c>
      <c r="C21" s="61">
        <f>+B21</f>
        <v>9000</v>
      </c>
    </row>
    <row r="22" spans="1:5" x14ac:dyDescent="0.25">
      <c r="A22" s="187" t="s">
        <v>402</v>
      </c>
      <c r="B22" s="61">
        <v>17000</v>
      </c>
      <c r="C22" s="61">
        <f>+B22</f>
        <v>17000</v>
      </c>
      <c r="D22" s="60">
        <v>1</v>
      </c>
    </row>
    <row r="23" spans="1:5" x14ac:dyDescent="0.25">
      <c r="A23" s="187" t="s">
        <v>403</v>
      </c>
      <c r="B23" s="61">
        <v>20000</v>
      </c>
      <c r="C23" s="61">
        <f>+B23</f>
        <v>20000</v>
      </c>
    </row>
    <row r="24" spans="1:5" x14ac:dyDescent="0.25">
      <c r="A24" s="187" t="s">
        <v>404</v>
      </c>
      <c r="B24" s="61"/>
      <c r="C24" s="61">
        <f>+($B$2-$B$3)/6</f>
        <v>2833.3333333333335</v>
      </c>
    </row>
    <row r="25" spans="1:5" x14ac:dyDescent="0.25">
      <c r="A25" s="187" t="s">
        <v>405</v>
      </c>
      <c r="B25" s="61"/>
      <c r="C25" s="61">
        <f>+($B$2-$B$3)/6</f>
        <v>2833.3333333333335</v>
      </c>
    </row>
    <row r="26" spans="1:5" x14ac:dyDescent="0.25">
      <c r="A26" s="187" t="s">
        <v>425</v>
      </c>
      <c r="B26" s="188"/>
      <c r="C26" s="188"/>
      <c r="D26" s="187"/>
      <c r="E26" s="187"/>
    </row>
    <row r="28" spans="1:5" x14ac:dyDescent="0.25">
      <c r="A28" s="187" t="s">
        <v>430</v>
      </c>
      <c r="B28" s="188">
        <v>900</v>
      </c>
      <c r="C28" s="187"/>
      <c r="D28" s="187"/>
      <c r="E28" s="187" t="s">
        <v>426</v>
      </c>
    </row>
    <row r="29" spans="1:5" x14ac:dyDescent="0.25">
      <c r="A29" s="190" t="s">
        <v>431</v>
      </c>
      <c r="B29" s="191">
        <v>26000</v>
      </c>
      <c r="C29" s="190"/>
      <c r="D29" s="190"/>
      <c r="E29" s="190" t="s">
        <v>424</v>
      </c>
    </row>
    <row r="30" spans="1:5" x14ac:dyDescent="0.25">
      <c r="A30" s="187" t="s">
        <v>432</v>
      </c>
      <c r="B30" s="188">
        <v>9600</v>
      </c>
      <c r="C30" s="187"/>
      <c r="D30" s="187"/>
      <c r="E30" s="187" t="s">
        <v>429</v>
      </c>
    </row>
    <row r="31" spans="1:5" x14ac:dyDescent="0.25">
      <c r="A31" s="187" t="s">
        <v>433</v>
      </c>
      <c r="B31" s="188">
        <v>6550</v>
      </c>
      <c r="C31" s="187"/>
      <c r="D31" s="187"/>
      <c r="E31" s="187" t="s">
        <v>427</v>
      </c>
    </row>
    <row r="32" spans="1:5" ht="25.5" x14ac:dyDescent="0.25">
      <c r="A32" s="192" t="s">
        <v>450</v>
      </c>
      <c r="B32" s="188">
        <v>42000</v>
      </c>
      <c r="C32" s="187"/>
      <c r="D32" s="187"/>
      <c r="E32" s="187" t="s">
        <v>449</v>
      </c>
    </row>
    <row r="33" spans="1:5" x14ac:dyDescent="0.25">
      <c r="A33" s="192" t="s">
        <v>451</v>
      </c>
      <c r="B33" s="188">
        <v>49000</v>
      </c>
      <c r="C33" s="187"/>
      <c r="D33" s="187"/>
      <c r="E33" s="187" t="s">
        <v>449</v>
      </c>
    </row>
    <row r="34" spans="1:5" x14ac:dyDescent="0.25">
      <c r="A34" s="187" t="s">
        <v>434</v>
      </c>
      <c r="B34" s="188">
        <f>90%*2000</f>
        <v>1800</v>
      </c>
      <c r="C34" s="187"/>
      <c r="D34" s="187"/>
      <c r="E34" s="187" t="s">
        <v>435</v>
      </c>
    </row>
    <row r="35" spans="1:5" x14ac:dyDescent="0.25">
      <c r="A35" s="190" t="s">
        <v>438</v>
      </c>
      <c r="B35" s="190">
        <v>104</v>
      </c>
      <c r="C35" s="190"/>
      <c r="D35" s="190"/>
      <c r="E35" s="190" t="s">
        <v>444</v>
      </c>
    </row>
    <row r="36" spans="1:5" x14ac:dyDescent="0.25">
      <c r="A36" s="190" t="s">
        <v>443</v>
      </c>
      <c r="B36" s="190">
        <v>60</v>
      </c>
      <c r="C36" s="190"/>
      <c r="D36" s="190"/>
      <c r="E36" s="190" t="s">
        <v>445</v>
      </c>
    </row>
    <row r="37" spans="1:5" x14ac:dyDescent="0.25">
      <c r="A37" s="187" t="s">
        <v>436</v>
      </c>
      <c r="B37" s="187">
        <f>15%*1500</f>
        <v>225</v>
      </c>
      <c r="C37" s="187"/>
      <c r="D37" s="187"/>
      <c r="E37" s="187" t="s">
        <v>437</v>
      </c>
    </row>
    <row r="38" spans="1:5" x14ac:dyDescent="0.25">
      <c r="A38" s="190" t="s">
        <v>439</v>
      </c>
      <c r="B38" s="190">
        <v>118</v>
      </c>
      <c r="C38" s="190"/>
      <c r="D38" s="190"/>
      <c r="E38" s="190" t="s">
        <v>442</v>
      </c>
    </row>
    <row r="39" spans="1:5" x14ac:dyDescent="0.25">
      <c r="A39" s="187" t="s">
        <v>446</v>
      </c>
      <c r="B39" s="187">
        <v>147</v>
      </c>
      <c r="C39" s="187"/>
      <c r="D39" s="187"/>
      <c r="E39" s="187" t="s">
        <v>447</v>
      </c>
    </row>
    <row r="40" spans="1:5" x14ac:dyDescent="0.25">
      <c r="A40" s="190" t="s">
        <v>440</v>
      </c>
      <c r="B40" s="190">
        <v>295</v>
      </c>
      <c r="C40" s="190"/>
      <c r="D40" s="190"/>
      <c r="E40" s="190" t="s">
        <v>441</v>
      </c>
    </row>
    <row r="41" spans="1:5" x14ac:dyDescent="0.25">
      <c r="A41" s="187" t="s">
        <v>448</v>
      </c>
      <c r="B41" s="187">
        <f>+ROUND(B37+B39+2*B40,-2)</f>
        <v>1000</v>
      </c>
      <c r="C41" s="187"/>
      <c r="D41" s="187"/>
      <c r="E41" s="187"/>
    </row>
  </sheetData>
  <pageMargins left="0.7" right="0.7" top="0.75" bottom="0.75" header="0.3" footer="0.3"/>
  <pageSetup orientation="portrait" horizontalDpi="1200" verticalDpi="12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H35"/>
  <sheetViews>
    <sheetView topLeftCell="A7" zoomScaleNormal="100" workbookViewId="0">
      <selection activeCell="S26" sqref="S26"/>
    </sheetView>
  </sheetViews>
  <sheetFormatPr defaultColWidth="9.140625" defaultRowHeight="15" x14ac:dyDescent="0.25"/>
  <cols>
    <col min="1" max="1" width="3.7109375" style="60" customWidth="1"/>
    <col min="2" max="2" width="8" style="60" customWidth="1"/>
    <col min="3" max="3" width="41" style="60" customWidth="1"/>
    <col min="4" max="4" width="11.28515625" style="60" customWidth="1"/>
    <col min="5" max="7" width="12.140625" style="60" customWidth="1"/>
    <col min="8" max="8" width="4.5703125" style="163" customWidth="1"/>
    <col min="9" max="9" width="14" style="60" customWidth="1"/>
    <col min="10" max="10" width="5" style="163" customWidth="1"/>
    <col min="11" max="11" width="4.7109375" style="60" customWidth="1"/>
    <col min="12" max="12" width="7.5703125" style="60" customWidth="1"/>
    <col min="13" max="13" width="10.5703125" style="60" customWidth="1"/>
    <col min="14" max="19" width="10.7109375" style="60" customWidth="1"/>
    <col min="20" max="20" width="13.140625" style="60" customWidth="1"/>
    <col min="21" max="21" width="10.7109375" style="60" customWidth="1"/>
    <col min="22" max="22" width="5.7109375" style="60" customWidth="1"/>
    <col min="23" max="23" width="9.42578125" style="60" customWidth="1"/>
    <col min="24" max="26" width="10.7109375" style="60" customWidth="1"/>
    <col min="27" max="27" width="9.140625" style="60"/>
    <col min="35" max="16384" width="9.140625" style="60"/>
  </cols>
  <sheetData>
    <row r="1" spans="1:26" x14ac:dyDescent="0.25">
      <c r="M1" s="205" t="s">
        <v>361</v>
      </c>
      <c r="N1" s="205"/>
      <c r="O1" s="205"/>
      <c r="P1" s="205"/>
      <c r="Q1" s="205"/>
      <c r="R1" s="205"/>
      <c r="S1" s="205"/>
      <c r="T1" s="205"/>
      <c r="U1" s="112"/>
      <c r="W1" s="205" t="s">
        <v>377</v>
      </c>
      <c r="X1" s="205"/>
      <c r="Y1" s="205"/>
      <c r="Z1" s="205"/>
    </row>
    <row r="2" spans="1:26" ht="49.5" customHeight="1" x14ac:dyDescent="0.25">
      <c r="A2" s="60" t="s">
        <v>267</v>
      </c>
      <c r="K2" s="44"/>
      <c r="L2" s="44"/>
      <c r="M2" s="204" t="s">
        <v>458</v>
      </c>
      <c r="N2" s="204"/>
      <c r="O2" s="204"/>
      <c r="P2" s="204"/>
      <c r="Q2" s="200" t="s">
        <v>459</v>
      </c>
      <c r="R2" s="201"/>
      <c r="S2" s="201"/>
      <c r="T2" s="201"/>
      <c r="U2" s="86"/>
      <c r="W2" s="203" t="s">
        <v>268</v>
      </c>
      <c r="X2" s="203"/>
      <c r="Y2" s="203"/>
      <c r="Z2" s="203"/>
    </row>
    <row r="3" spans="1:26" ht="25.5" x14ac:dyDescent="0.25">
      <c r="A3" s="44"/>
      <c r="B3" s="44" t="s">
        <v>29</v>
      </c>
      <c r="C3" s="59" t="s">
        <v>91</v>
      </c>
      <c r="D3" s="63" t="s">
        <v>282</v>
      </c>
      <c r="E3" s="63" t="s">
        <v>264</v>
      </c>
      <c r="F3" s="63" t="s">
        <v>265</v>
      </c>
      <c r="G3" s="63" t="s">
        <v>266</v>
      </c>
      <c r="H3" s="166"/>
      <c r="I3" s="59" t="s">
        <v>94</v>
      </c>
      <c r="J3" s="164"/>
      <c r="K3" s="44"/>
      <c r="L3" s="44" t="s">
        <v>29</v>
      </c>
      <c r="M3" s="63" t="s">
        <v>282</v>
      </c>
      <c r="N3" s="63" t="s">
        <v>264</v>
      </c>
      <c r="O3" s="63" t="s">
        <v>265</v>
      </c>
      <c r="P3" s="63" t="s">
        <v>266</v>
      </c>
      <c r="Q3" s="92" t="s">
        <v>282</v>
      </c>
      <c r="R3" s="77" t="s">
        <v>264</v>
      </c>
      <c r="S3" s="77" t="s">
        <v>265</v>
      </c>
      <c r="T3" s="77" t="s">
        <v>266</v>
      </c>
      <c r="U3" s="104"/>
      <c r="V3" s="44"/>
      <c r="W3" s="63" t="s">
        <v>282</v>
      </c>
      <c r="X3" s="63" t="s">
        <v>264</v>
      </c>
      <c r="Y3" s="63" t="s">
        <v>265</v>
      </c>
      <c r="Z3" s="63" t="s">
        <v>266</v>
      </c>
    </row>
    <row r="4" spans="1:26" x14ac:dyDescent="0.25">
      <c r="A4" s="44" t="s">
        <v>72</v>
      </c>
      <c r="B4" s="61"/>
      <c r="C4" s="61"/>
      <c r="D4" s="61">
        <f>+SUM(D5:D31)</f>
        <v>2131677.7650604914</v>
      </c>
      <c r="E4" s="61">
        <f>+SUM(E5:E31)</f>
        <v>2475301.049044251</v>
      </c>
      <c r="F4" s="61">
        <f>+SUM(F5:F31)</f>
        <v>4530320.9056165321</v>
      </c>
      <c r="G4" s="61">
        <f>+SUM(G5:G31)</f>
        <v>5861557.8055709004</v>
      </c>
      <c r="H4" s="165"/>
      <c r="I4" s="61">
        <v>4618165.0868076338</v>
      </c>
      <c r="J4" s="165"/>
      <c r="K4" s="44" t="s">
        <v>72</v>
      </c>
      <c r="L4" s="61"/>
      <c r="M4" s="65">
        <f>+D4/'Option 1, Step 1'!Q4</f>
        <v>0.17746860616735394</v>
      </c>
      <c r="N4" s="65">
        <f>+E4/'Option 2, Step 1'!B3</f>
        <v>0.18827933451579462</v>
      </c>
      <c r="O4" s="65">
        <f>+F4/'Option 3, Step 1'!B3</f>
        <v>0.2567161190048195</v>
      </c>
      <c r="P4" s="65">
        <f>+G4/'Option 4, Step 1'!C3</f>
        <v>0.23150229933065106</v>
      </c>
      <c r="Q4" s="107"/>
      <c r="R4" s="108"/>
      <c r="S4" s="108"/>
      <c r="T4" s="108"/>
      <c r="U4" s="65"/>
      <c r="V4" s="44" t="s">
        <v>72</v>
      </c>
      <c r="W4" s="65">
        <f>1-M4</f>
        <v>0.82253139383264606</v>
      </c>
      <c r="X4" s="65">
        <f>1-N4</f>
        <v>0.81172066548420541</v>
      </c>
      <c r="Y4" s="65">
        <f>1-O4</f>
        <v>0.7432838809951805</v>
      </c>
      <c r="Z4" s="65">
        <f>1-P4</f>
        <v>0.76849770066934897</v>
      </c>
    </row>
    <row r="5" spans="1:26" x14ac:dyDescent="0.25">
      <c r="A5" s="44" t="s">
        <v>0</v>
      </c>
      <c r="B5" s="61">
        <v>4</v>
      </c>
      <c r="C5" s="61" t="s">
        <v>348</v>
      </c>
      <c r="D5" s="61"/>
      <c r="E5" s="61">
        <f>+G5*'Option 2, Step 1'!AJ4</f>
        <v>142.89555488653062</v>
      </c>
      <c r="F5" s="64"/>
      <c r="G5" s="61">
        <v>900</v>
      </c>
      <c r="H5" s="165"/>
      <c r="I5" s="61">
        <v>91299.999999999985</v>
      </c>
      <c r="J5" s="165"/>
      <c r="K5" s="44" t="s">
        <v>0</v>
      </c>
      <c r="L5" s="61">
        <v>4</v>
      </c>
      <c r="M5" s="65"/>
      <c r="N5" s="65">
        <f>+E5/'Option 2, Step 1'!B4</f>
        <v>5.605585980531754E-4</v>
      </c>
      <c r="O5" s="65"/>
      <c r="P5" s="65">
        <f>+G5/'Option 4, Step 1'!C4</f>
        <v>2.2371400565583616E-3</v>
      </c>
      <c r="Q5" s="107"/>
      <c r="R5" s="108"/>
      <c r="S5" s="108">
        <f>+(G5-F5)/'Option 3, Step 1'!B4</f>
        <v>3.3973215035083696E-3</v>
      </c>
      <c r="T5" s="108"/>
      <c r="U5" s="65"/>
      <c r="V5" s="44" t="s">
        <v>0</v>
      </c>
      <c r="W5" s="65"/>
      <c r="X5" s="65">
        <f>1-N5</f>
        <v>0.99943944140194685</v>
      </c>
      <c r="Y5" s="65">
        <f>1-O5</f>
        <v>1</v>
      </c>
      <c r="Z5" s="65">
        <f>1-P5</f>
        <v>0.9977628599434416</v>
      </c>
    </row>
    <row r="6" spans="1:26" x14ac:dyDescent="0.25">
      <c r="A6" s="44" t="s">
        <v>1</v>
      </c>
      <c r="B6" s="61">
        <v>2</v>
      </c>
      <c r="C6" s="61"/>
      <c r="D6" s="61"/>
      <c r="E6" s="61"/>
      <c r="F6" s="61"/>
      <c r="G6" s="61"/>
      <c r="H6" s="165"/>
      <c r="I6" s="61">
        <v>82899.999999999985</v>
      </c>
      <c r="J6" s="165"/>
      <c r="K6" s="44" t="s">
        <v>1</v>
      </c>
      <c r="L6" s="61">
        <v>2</v>
      </c>
      <c r="M6" s="65"/>
      <c r="N6" s="65"/>
      <c r="Q6" s="109"/>
      <c r="R6" s="110"/>
      <c r="S6" s="110"/>
      <c r="T6" s="110"/>
      <c r="V6" s="44" t="s">
        <v>1</v>
      </c>
      <c r="W6" s="65"/>
      <c r="X6" s="65"/>
    </row>
    <row r="7" spans="1:26" x14ac:dyDescent="0.25">
      <c r="A7" s="44" t="s">
        <v>2</v>
      </c>
      <c r="B7" s="61">
        <v>2</v>
      </c>
      <c r="C7" s="61"/>
      <c r="D7" s="61"/>
      <c r="E7" s="61"/>
      <c r="F7" s="61"/>
      <c r="G7" s="61"/>
      <c r="H7" s="165"/>
      <c r="I7" s="61">
        <v>89400</v>
      </c>
      <c r="J7" s="165"/>
      <c r="K7" s="44" t="s">
        <v>2</v>
      </c>
      <c r="L7" s="61">
        <v>2</v>
      </c>
      <c r="M7" s="65"/>
      <c r="N7" s="65"/>
      <c r="Q7" s="109"/>
      <c r="R7" s="110"/>
      <c r="S7" s="110"/>
      <c r="T7" s="110"/>
      <c r="V7" s="44" t="s">
        <v>2</v>
      </c>
      <c r="W7" s="65"/>
      <c r="X7" s="65"/>
    </row>
    <row r="8" spans="1:26" x14ac:dyDescent="0.25">
      <c r="A8" s="44" t="s">
        <v>3</v>
      </c>
      <c r="B8" s="61">
        <v>2</v>
      </c>
      <c r="C8" s="61"/>
      <c r="D8" s="61"/>
      <c r="E8" s="61"/>
      <c r="F8" s="61"/>
      <c r="G8" s="61"/>
      <c r="H8" s="165"/>
      <c r="I8" s="61">
        <v>7339.6328621946031</v>
      </c>
      <c r="J8" s="165"/>
      <c r="K8" s="44" t="s">
        <v>3</v>
      </c>
      <c r="L8" s="61">
        <v>2</v>
      </c>
      <c r="M8" s="65"/>
      <c r="N8" s="65"/>
      <c r="Q8" s="109"/>
      <c r="R8" s="110"/>
      <c r="S8" s="110"/>
      <c r="T8" s="110"/>
      <c r="V8" s="44" t="s">
        <v>3</v>
      </c>
      <c r="W8" s="65"/>
      <c r="X8" s="65"/>
    </row>
    <row r="9" spans="1:26" x14ac:dyDescent="0.25">
      <c r="A9" s="44" t="s">
        <v>4</v>
      </c>
      <c r="B9" s="61">
        <v>2</v>
      </c>
      <c r="C9" s="64"/>
      <c r="D9" s="61"/>
      <c r="E9" s="61"/>
      <c r="F9" s="61"/>
      <c r="G9" s="61"/>
      <c r="H9" s="165"/>
      <c r="I9" s="61">
        <v>161800</v>
      </c>
      <c r="J9" s="165"/>
      <c r="K9" s="44" t="s">
        <v>4</v>
      </c>
      <c r="L9" s="61">
        <v>2</v>
      </c>
      <c r="M9" s="65"/>
      <c r="N9" s="65"/>
      <c r="Q9" s="109"/>
      <c r="R9" s="110"/>
      <c r="S9" s="110"/>
      <c r="T9" s="110"/>
      <c r="V9" s="44" t="s">
        <v>4</v>
      </c>
      <c r="W9" s="65"/>
      <c r="X9" s="65"/>
    </row>
    <row r="10" spans="1:26" ht="25.5" x14ac:dyDescent="0.25">
      <c r="A10" s="44" t="s">
        <v>5</v>
      </c>
      <c r="B10" s="61">
        <v>3</v>
      </c>
      <c r="C10" s="102" t="s">
        <v>423</v>
      </c>
      <c r="D10" s="61"/>
      <c r="E10" s="61">
        <f>+G10*'Option 2, Step 1'!AJ9</f>
        <v>122569.31740063093</v>
      </c>
      <c r="F10" s="64">
        <f>+(G10-(G10-I10))*(1-'Option 3, Step 1'!P9/'Option 4, Step 1'!C9)</f>
        <v>444650.34212169971</v>
      </c>
      <c r="G10" s="61">
        <f>+I10+0.5*(SUMPRODUCT('Step 2 source data'!C4:C25,'Step 2 source data'!D4:D25)+'Step 2 source data'!B30)</f>
        <v>614300</v>
      </c>
      <c r="H10" s="165"/>
      <c r="I10" s="61">
        <v>561500</v>
      </c>
      <c r="J10" s="165"/>
      <c r="K10" s="44" t="s">
        <v>5</v>
      </c>
      <c r="L10" s="106" t="s">
        <v>32</v>
      </c>
      <c r="M10" s="65"/>
      <c r="N10" s="65">
        <f>+E10/'Option 2, Step 1'!B9</f>
        <v>4.8276137548213971E-2</v>
      </c>
      <c r="O10" s="65">
        <f>+F10/'Option 3, Step 1'!B9</f>
        <v>0.18500651463138867</v>
      </c>
      <c r="P10" s="65">
        <f>+G10/'Option 4, Step 1'!C9</f>
        <v>0.1537062398339353</v>
      </c>
      <c r="Q10" s="107"/>
      <c r="R10" s="108"/>
      <c r="S10" s="108">
        <f>+(G10-F10)/'Option 3, Step 1'!B9</f>
        <v>7.0586456231448241E-2</v>
      </c>
      <c r="T10" s="108"/>
      <c r="U10" s="65"/>
      <c r="V10" s="44" t="s">
        <v>5</v>
      </c>
      <c r="W10" s="65"/>
      <c r="X10" s="65">
        <f t="shared" ref="X10:Z11" si="0">1-N10</f>
        <v>0.95172386245178608</v>
      </c>
      <c r="Y10" s="65">
        <f t="shared" si="0"/>
        <v>0.81499348536861138</v>
      </c>
      <c r="Z10" s="65">
        <f t="shared" si="0"/>
        <v>0.84629376016606472</v>
      </c>
    </row>
    <row r="11" spans="1:26" x14ac:dyDescent="0.25">
      <c r="A11" s="44" t="s">
        <v>6</v>
      </c>
      <c r="B11" s="61">
        <v>2</v>
      </c>
      <c r="C11" s="64"/>
      <c r="D11" s="61"/>
      <c r="E11" s="61"/>
      <c r="F11" s="61"/>
      <c r="G11" s="61"/>
      <c r="H11" s="165"/>
      <c r="I11" s="61">
        <v>38600</v>
      </c>
      <c r="J11" s="165"/>
      <c r="K11" s="44" t="s">
        <v>6</v>
      </c>
      <c r="L11" s="61">
        <v>2</v>
      </c>
      <c r="M11" s="65"/>
      <c r="N11" s="65"/>
      <c r="O11" s="65"/>
      <c r="P11" s="65"/>
      <c r="Q11" s="107"/>
      <c r="R11" s="108"/>
      <c r="S11" s="108"/>
      <c r="T11" s="108"/>
      <c r="U11" s="65"/>
      <c r="V11" s="44" t="s">
        <v>6</v>
      </c>
      <c r="W11" s="65"/>
      <c r="X11" s="65">
        <f t="shared" si="0"/>
        <v>1</v>
      </c>
      <c r="Y11" s="65">
        <f t="shared" si="0"/>
        <v>1</v>
      </c>
      <c r="Z11" s="65">
        <f t="shared" si="0"/>
        <v>1</v>
      </c>
    </row>
    <row r="12" spans="1:26" x14ac:dyDescent="0.25">
      <c r="A12" s="44" t="s">
        <v>7</v>
      </c>
      <c r="B12" s="61">
        <v>2</v>
      </c>
      <c r="C12" s="64"/>
      <c r="D12" s="61"/>
      <c r="E12" s="61"/>
      <c r="F12" s="61"/>
      <c r="G12" s="61"/>
      <c r="H12" s="165"/>
      <c r="I12" s="61">
        <v>10700.000000000002</v>
      </c>
      <c r="J12" s="165"/>
      <c r="K12" s="44" t="s">
        <v>7</v>
      </c>
      <c r="L12" s="61">
        <v>2</v>
      </c>
      <c r="M12" s="65"/>
      <c r="N12" s="65"/>
      <c r="Q12" s="109"/>
      <c r="R12" s="110"/>
      <c r="S12" s="110"/>
      <c r="T12" s="110"/>
      <c r="V12" s="44" t="s">
        <v>7</v>
      </c>
      <c r="W12" s="65"/>
      <c r="X12" s="65"/>
    </row>
    <row r="13" spans="1:26" x14ac:dyDescent="0.25">
      <c r="A13" s="44" t="s">
        <v>8</v>
      </c>
      <c r="B13" s="106" t="s">
        <v>32</v>
      </c>
      <c r="C13" s="64" t="s">
        <v>456</v>
      </c>
      <c r="D13" s="61">
        <f>+'Option 1, Step 1'!Q13*15%</f>
        <v>292163.51322325598</v>
      </c>
      <c r="E13" s="61">
        <f>+D13+(G13-D13)*'Option 2, Step 1'!AJ12</f>
        <v>317243.54233790742</v>
      </c>
      <c r="F13" s="61">
        <f>+G13</f>
        <v>660063.51322325598</v>
      </c>
      <c r="G13" s="61">
        <f>+D13+I13</f>
        <v>660063.51322325598</v>
      </c>
      <c r="H13" s="165"/>
      <c r="I13" s="61">
        <v>367900</v>
      </c>
      <c r="J13" s="165"/>
      <c r="K13" s="44" t="s">
        <v>8</v>
      </c>
      <c r="L13" s="106" t="s">
        <v>32</v>
      </c>
      <c r="M13" s="103">
        <f>+D13/'Option 1, Step 1'!Q13</f>
        <v>0.15</v>
      </c>
      <c r="N13" s="65">
        <f>+E13/'Option 2, Step 1'!B12</f>
        <v>0.15576550339379991</v>
      </c>
      <c r="O13" s="65">
        <f>+F13/'Option 3, Step 1'!B12</f>
        <v>0.28824088012734506</v>
      </c>
      <c r="P13" s="65">
        <f>+G13/'Option 4, Step 1'!C12</f>
        <v>0.20296614542788957</v>
      </c>
      <c r="Q13" s="107"/>
      <c r="R13" s="108"/>
      <c r="S13" s="108"/>
      <c r="T13" s="108"/>
      <c r="U13" s="65"/>
      <c r="V13" s="44" t="s">
        <v>8</v>
      </c>
      <c r="W13" s="65">
        <f>1-M13</f>
        <v>0.85</v>
      </c>
      <c r="X13" s="65">
        <f>1-N13</f>
        <v>0.84423449660620009</v>
      </c>
      <c r="Y13" s="65">
        <f>1-O13</f>
        <v>0.71175911987265494</v>
      </c>
      <c r="Z13" s="65">
        <f>1-P13</f>
        <v>0.7970338545721104</v>
      </c>
    </row>
    <row r="14" spans="1:26" x14ac:dyDescent="0.25">
      <c r="A14" s="44" t="s">
        <v>9</v>
      </c>
      <c r="B14" s="61">
        <v>2</v>
      </c>
      <c r="C14" s="64"/>
      <c r="D14" s="61"/>
      <c r="E14" s="61"/>
      <c r="F14" s="61"/>
      <c r="G14" s="61"/>
      <c r="H14" s="165"/>
      <c r="I14" s="61">
        <v>66600</v>
      </c>
      <c r="J14" s="165"/>
      <c r="K14" s="44" t="s">
        <v>9</v>
      </c>
      <c r="L14" s="61">
        <v>2</v>
      </c>
      <c r="M14" s="103"/>
      <c r="N14" s="65"/>
      <c r="Q14" s="109"/>
      <c r="R14" s="110"/>
      <c r="S14" s="110"/>
      <c r="T14" s="110"/>
      <c r="V14" s="44" t="s">
        <v>9</v>
      </c>
      <c r="W14" s="65"/>
      <c r="X14" s="65"/>
    </row>
    <row r="15" spans="1:26" ht="38.25" x14ac:dyDescent="0.25">
      <c r="A15" s="44" t="s">
        <v>10</v>
      </c>
      <c r="B15" s="61">
        <v>4</v>
      </c>
      <c r="C15" s="102" t="s">
        <v>452</v>
      </c>
      <c r="D15" s="61">
        <f>+'Option 1, Step 1'!Q15*30%</f>
        <v>416056.83573160367</v>
      </c>
      <c r="E15" s="61">
        <f>+D15+(G15-D15)*'Option 2, Step 1'!AJ14</f>
        <v>423661.30423395202</v>
      </c>
      <c r="F15" s="61">
        <f>+D15+'Step 2 source data'!B32</f>
        <v>458056.83573160367</v>
      </c>
      <c r="G15" s="61">
        <f>+F15+SUM('Step 2 source data'!B31:B33)</f>
        <v>555606.83573160367</v>
      </c>
      <c r="H15" s="165"/>
      <c r="I15" s="61">
        <v>532300</v>
      </c>
      <c r="J15" s="165"/>
      <c r="K15" s="44" t="s">
        <v>10</v>
      </c>
      <c r="L15" s="61">
        <v>4</v>
      </c>
      <c r="M15" s="103">
        <f>+D15/'Option 1, Step 1'!Q15</f>
        <v>0.3</v>
      </c>
      <c r="N15" s="65">
        <f>+E15/'Option 2, Step 1'!B14</f>
        <v>0.28868630144691865</v>
      </c>
      <c r="O15" s="65">
        <f>+F15/'Option 3, Step 1'!B14</f>
        <v>0.22648538588888764</v>
      </c>
      <c r="P15" s="65">
        <f>+G15/'Option 4, Step 1'!C14</f>
        <v>0.19374946390187903</v>
      </c>
      <c r="Q15" s="107"/>
      <c r="R15" s="108"/>
      <c r="S15" s="108">
        <f>+SUM('Step 2 source data'!B31,'Step 2 source data'!B33)/'Option 3, Step 1'!B14</f>
        <v>2.746659847578313E-2</v>
      </c>
      <c r="T15" s="108"/>
      <c r="V15" s="44" t="s">
        <v>10</v>
      </c>
      <c r="W15" s="65">
        <f t="shared" ref="W15:Z16" si="1">1-M15</f>
        <v>0.7</v>
      </c>
      <c r="X15" s="65">
        <f t="shared" si="1"/>
        <v>0.71131369855308135</v>
      </c>
      <c r="Y15" s="65">
        <f t="shared" si="1"/>
        <v>0.77351461411111233</v>
      </c>
      <c r="Z15" s="65">
        <f t="shared" si="1"/>
        <v>0.80625053609812092</v>
      </c>
    </row>
    <row r="16" spans="1:26" ht="25.5" x14ac:dyDescent="0.25">
      <c r="A16" s="44" t="s">
        <v>11</v>
      </c>
      <c r="B16" s="193">
        <v>4</v>
      </c>
      <c r="C16" s="102" t="s">
        <v>383</v>
      </c>
      <c r="D16" s="64">
        <f>+'Option 1, Step 1'!Q16</f>
        <v>276414.70577065164</v>
      </c>
      <c r="E16" s="64">
        <f>+D16+(G16-D16)*'Option 2, Step 1'!AJ15</f>
        <v>276523.5893236397</v>
      </c>
      <c r="F16" s="64">
        <f>+D16+(G16-D16)*(1-'Option 3, Step 1'!P15/'Option 4, Step 1'!C15)-'Option 3, Step 1'!AE15</f>
        <v>181086.1203516958</v>
      </c>
      <c r="G16" s="64">
        <f>+D16+'Step 2 source data'!B34</f>
        <v>278214.70577065164</v>
      </c>
      <c r="H16" s="165"/>
      <c r="I16" s="61">
        <v>165400.00000000003</v>
      </c>
      <c r="J16" s="165"/>
      <c r="K16" s="44" t="s">
        <v>11</v>
      </c>
      <c r="L16" s="61">
        <v>4</v>
      </c>
      <c r="M16" s="103">
        <f>+D16/'Option 1, Step 1'!Q16</f>
        <v>1</v>
      </c>
      <c r="N16" s="65">
        <f>+E16/'Option 2, Step 1'!B15</f>
        <v>0.92073338757910261</v>
      </c>
      <c r="O16" s="65">
        <f>+F16/'Option 3, Step 1'!B15</f>
        <v>0.41925987360993117</v>
      </c>
      <c r="P16" s="65">
        <f>+G16/'Option 4, Step 1'!C15</f>
        <v>0.41415560766487369</v>
      </c>
      <c r="Q16" s="107"/>
      <c r="R16" s="108"/>
      <c r="S16" s="108">
        <f>+(G16-F16)/'Option 3, Step 1'!B15</f>
        <v>0.2248770826144737</v>
      </c>
      <c r="T16" s="108"/>
      <c r="U16" s="65"/>
      <c r="V16" s="44" t="s">
        <v>11</v>
      </c>
      <c r="W16" s="65">
        <f t="shared" si="1"/>
        <v>0</v>
      </c>
      <c r="X16" s="65">
        <f t="shared" si="1"/>
        <v>7.9266612420897387E-2</v>
      </c>
      <c r="Y16" s="65">
        <f t="shared" si="1"/>
        <v>0.58074012639006889</v>
      </c>
      <c r="Z16" s="65">
        <f t="shared" si="1"/>
        <v>0.58584439233512631</v>
      </c>
    </row>
    <row r="17" spans="1:26" x14ac:dyDescent="0.25">
      <c r="A17" s="44" t="s">
        <v>26</v>
      </c>
      <c r="B17" s="61">
        <v>2</v>
      </c>
      <c r="C17" s="64"/>
      <c r="D17" s="61"/>
      <c r="E17" s="61"/>
      <c r="F17" s="61"/>
      <c r="G17" s="61"/>
      <c r="H17" s="165"/>
      <c r="I17" s="61">
        <v>39047.887323943658</v>
      </c>
      <c r="J17" s="165"/>
      <c r="K17" s="44" t="s">
        <v>26</v>
      </c>
      <c r="L17" s="61">
        <v>2</v>
      </c>
      <c r="M17" s="103"/>
      <c r="N17" s="65"/>
      <c r="Q17" s="109"/>
      <c r="R17" s="110"/>
      <c r="S17" s="110"/>
      <c r="T17" s="110"/>
      <c r="V17" s="44" t="s">
        <v>26</v>
      </c>
      <c r="W17" s="65"/>
      <c r="X17" s="65"/>
    </row>
    <row r="18" spans="1:26" x14ac:dyDescent="0.25">
      <c r="A18" s="44" t="s">
        <v>12</v>
      </c>
      <c r="B18" s="61">
        <v>2</v>
      </c>
      <c r="C18" s="64"/>
      <c r="D18" s="61"/>
      <c r="E18" s="61"/>
      <c r="F18" s="61"/>
      <c r="G18" s="61"/>
      <c r="H18" s="165"/>
      <c r="I18" s="61">
        <v>138200</v>
      </c>
      <c r="J18" s="165"/>
      <c r="K18" s="44" t="s">
        <v>12</v>
      </c>
      <c r="L18" s="61">
        <v>2</v>
      </c>
      <c r="M18" s="103"/>
      <c r="N18" s="65"/>
      <c r="Q18" s="109"/>
      <c r="R18" s="110"/>
      <c r="S18" s="110"/>
      <c r="T18" s="110"/>
      <c r="V18" s="44" t="s">
        <v>12</v>
      </c>
      <c r="W18" s="65"/>
      <c r="X18" s="65"/>
    </row>
    <row r="19" spans="1:26" ht="25.5" x14ac:dyDescent="0.25">
      <c r="A19" s="44" t="s">
        <v>13</v>
      </c>
      <c r="B19" s="61">
        <v>5</v>
      </c>
      <c r="C19" s="102" t="s">
        <v>457</v>
      </c>
      <c r="D19" s="61"/>
      <c r="E19" s="61">
        <f>+G19*'Option 2, Step 1'!AJ18</f>
        <v>101.69182020579899</v>
      </c>
      <c r="F19" s="64"/>
      <c r="G19" s="64">
        <v>1000</v>
      </c>
      <c r="H19" s="105"/>
      <c r="I19" s="61">
        <v>61400.000000000007</v>
      </c>
      <c r="J19" s="165"/>
      <c r="K19" s="44" t="s">
        <v>13</v>
      </c>
      <c r="L19" s="61">
        <v>5</v>
      </c>
      <c r="M19" s="103"/>
      <c r="N19" s="65">
        <f>+E19/'Option 2, Step 1'!B18</f>
        <v>6.8307785444264167E-4</v>
      </c>
      <c r="O19" s="65"/>
      <c r="P19" s="65">
        <f>+G19/'Option 4, Step 1'!C18</f>
        <v>3.6022987356042879E-3</v>
      </c>
      <c r="Q19" s="107"/>
      <c r="R19" s="108"/>
      <c r="S19" s="108">
        <f>+(G19-F19)/'Option 3, Step 1'!B18</f>
        <v>5.2439666987602624E-3</v>
      </c>
      <c r="T19" s="108"/>
      <c r="U19" s="65"/>
      <c r="V19" s="44" t="s">
        <v>13</v>
      </c>
      <c r="W19" s="65"/>
      <c r="X19" s="65">
        <f t="shared" ref="X19:Z20" si="2">1-N19</f>
        <v>0.99931692214555734</v>
      </c>
      <c r="Y19" s="65">
        <f t="shared" si="2"/>
        <v>1</v>
      </c>
      <c r="Z19" s="65">
        <f t="shared" si="2"/>
        <v>0.99639770126439575</v>
      </c>
    </row>
    <row r="20" spans="1:26" ht="25.5" x14ac:dyDescent="0.25">
      <c r="A20" s="44" t="s">
        <v>14</v>
      </c>
      <c r="B20" s="61">
        <v>4</v>
      </c>
      <c r="C20" s="102" t="s">
        <v>455</v>
      </c>
      <c r="D20" s="61">
        <f>15%*'Option 1, Step 1'!Q20</f>
        <v>249024.95948959142</v>
      </c>
      <c r="E20" s="61">
        <f>+G20*'Option 2, Step 1'!AJ19+D20</f>
        <v>329991.44365872373</v>
      </c>
      <c r="F20" s="64">
        <f>G20*70%</f>
        <v>910000</v>
      </c>
      <c r="G20" s="64">
        <f>1300000</f>
        <v>1300000</v>
      </c>
      <c r="H20" s="105"/>
      <c r="I20" s="61">
        <v>837500.00000000012</v>
      </c>
      <c r="J20" s="165"/>
      <c r="K20" s="44" t="s">
        <v>14</v>
      </c>
      <c r="L20" s="61">
        <v>4</v>
      </c>
      <c r="M20" s="103">
        <f>+D20/'Option 1, Step 1'!Q20</f>
        <v>0.15</v>
      </c>
      <c r="N20" s="65">
        <f>+E20/'Option 2, Step 1'!B19</f>
        <v>0.18148049699483021</v>
      </c>
      <c r="O20" s="65">
        <f>+F20/'Option 3, Step 1'!B19</f>
        <v>0.31411933719976259</v>
      </c>
      <c r="P20" s="65">
        <f>+G20/'Option 4, Step 1'!C19</f>
        <v>0.30954987092563618</v>
      </c>
      <c r="Q20" s="107"/>
      <c r="R20" s="108"/>
      <c r="S20" s="108">
        <f>+(G20-F20)/'Option 3, Step 1'!B19</f>
        <v>0.13462257308561254</v>
      </c>
      <c r="T20" s="108"/>
      <c r="U20" s="65"/>
      <c r="V20" s="44" t="s">
        <v>14</v>
      </c>
      <c r="W20" s="65"/>
      <c r="X20" s="65">
        <f t="shared" si="2"/>
        <v>0.81851950300516974</v>
      </c>
      <c r="Y20" s="65">
        <f t="shared" si="2"/>
        <v>0.68588066280023741</v>
      </c>
      <c r="Z20" s="65">
        <f t="shared" si="2"/>
        <v>0.69045012907436387</v>
      </c>
    </row>
    <row r="21" spans="1:26" x14ac:dyDescent="0.25">
      <c r="A21" s="44" t="s">
        <v>15</v>
      </c>
      <c r="B21" s="61">
        <v>2</v>
      </c>
      <c r="C21" s="64"/>
      <c r="D21" s="61"/>
      <c r="E21" s="61"/>
      <c r="F21" s="61"/>
      <c r="G21" s="64"/>
      <c r="H21" s="105"/>
      <c r="I21" s="61">
        <v>28200.000000000004</v>
      </c>
      <c r="J21" s="165"/>
      <c r="K21" s="44" t="s">
        <v>15</v>
      </c>
      <c r="L21" s="61">
        <v>2</v>
      </c>
      <c r="M21" s="103"/>
      <c r="N21" s="65"/>
      <c r="Q21" s="109"/>
      <c r="R21" s="110"/>
      <c r="S21" s="110"/>
      <c r="T21" s="110"/>
      <c r="V21" s="44" t="s">
        <v>15</v>
      </c>
      <c r="W21" s="65"/>
      <c r="X21" s="65"/>
    </row>
    <row r="22" spans="1:26" x14ac:dyDescent="0.25">
      <c r="A22" s="44" t="s">
        <v>16</v>
      </c>
      <c r="B22" s="61">
        <v>2</v>
      </c>
      <c r="C22" s="64"/>
      <c r="D22" s="61"/>
      <c r="E22" s="61"/>
      <c r="F22" s="61"/>
      <c r="G22" s="64"/>
      <c r="H22" s="105"/>
      <c r="I22" s="61">
        <v>4003.4361066516017</v>
      </c>
      <c r="J22" s="165"/>
      <c r="K22" s="44" t="s">
        <v>16</v>
      </c>
      <c r="L22" s="61">
        <v>2</v>
      </c>
      <c r="M22" s="103"/>
      <c r="N22" s="65"/>
      <c r="Q22" s="109"/>
      <c r="R22" s="110"/>
      <c r="S22" s="110"/>
      <c r="T22" s="110"/>
      <c r="V22" s="44" t="s">
        <v>16</v>
      </c>
      <c r="W22" s="65"/>
      <c r="X22" s="65"/>
    </row>
    <row r="23" spans="1:26" x14ac:dyDescent="0.25">
      <c r="A23" s="44" t="s">
        <v>17</v>
      </c>
      <c r="B23" s="61">
        <v>2</v>
      </c>
      <c r="C23" s="64"/>
      <c r="D23" s="61"/>
      <c r="E23" s="61"/>
      <c r="F23" s="61"/>
      <c r="G23" s="64"/>
      <c r="H23" s="105"/>
      <c r="I23" s="61">
        <v>16274.13051484391</v>
      </c>
      <c r="J23" s="165"/>
      <c r="K23" s="44" t="s">
        <v>17</v>
      </c>
      <c r="L23" s="61">
        <v>2</v>
      </c>
      <c r="M23" s="103"/>
      <c r="N23" s="65"/>
      <c r="Q23" s="109"/>
      <c r="R23" s="110"/>
      <c r="S23" s="110"/>
      <c r="T23" s="110"/>
      <c r="V23" s="44" t="s">
        <v>17</v>
      </c>
      <c r="W23" s="65"/>
      <c r="X23" s="65"/>
    </row>
    <row r="24" spans="1:26" x14ac:dyDescent="0.25">
      <c r="A24" s="44" t="s">
        <v>18</v>
      </c>
      <c r="B24" s="61">
        <v>2</v>
      </c>
      <c r="C24" s="64"/>
      <c r="D24" s="61"/>
      <c r="E24" s="61"/>
      <c r="F24" s="61"/>
      <c r="G24" s="105"/>
      <c r="H24" s="105"/>
      <c r="I24" s="61">
        <v>7000</v>
      </c>
      <c r="J24" s="165"/>
      <c r="K24" s="44" t="s">
        <v>18</v>
      </c>
      <c r="L24" s="61">
        <v>2</v>
      </c>
      <c r="M24" s="103"/>
      <c r="N24" s="65"/>
      <c r="Q24" s="109"/>
      <c r="R24" s="110"/>
      <c r="S24" s="110"/>
      <c r="T24" s="110"/>
      <c r="V24" s="44" t="s">
        <v>18</v>
      </c>
      <c r="W24" s="65"/>
      <c r="X24" s="65"/>
    </row>
    <row r="25" spans="1:26" x14ac:dyDescent="0.25">
      <c r="A25" s="44" t="s">
        <v>19</v>
      </c>
      <c r="B25" s="61">
        <v>5</v>
      </c>
      <c r="C25" s="102" t="s">
        <v>360</v>
      </c>
      <c r="D25" s="62"/>
      <c r="E25" s="61">
        <f>+ROUND(G25*'Option 2, Step 1'!AJ24,-3)</f>
        <v>24000</v>
      </c>
      <c r="F25" s="61">
        <f>+ROUND(G25*(1-'Option 3, Step 1'!P24/'Option 4, Step 1'!C24),-3)</f>
        <v>271000</v>
      </c>
      <c r="G25" s="64">
        <f>+I25+106455</f>
        <v>326055</v>
      </c>
      <c r="I25" s="61">
        <v>219600</v>
      </c>
      <c r="J25" s="165"/>
      <c r="K25" s="44" t="s">
        <v>19</v>
      </c>
      <c r="L25" s="61">
        <v>5</v>
      </c>
      <c r="M25" s="103"/>
      <c r="N25" s="65">
        <f>+E25/'Option 2, Step 1'!B24</f>
        <v>3.2530433691665216E-2</v>
      </c>
      <c r="O25" s="65">
        <f>+F25/'Option 3, Step 1'!B24</f>
        <v>0.24349708490595673</v>
      </c>
      <c r="P25" s="65">
        <f>+G25/'Option 4, Step 1'!C24</f>
        <v>0.20100553745706967</v>
      </c>
      <c r="Q25" s="107"/>
      <c r="R25" s="108"/>
      <c r="S25" s="108">
        <f>+(G25-F25)/'Option 3, Step 1'!B24</f>
        <v>4.9467645791503499E-2</v>
      </c>
      <c r="T25" s="108"/>
      <c r="U25" s="65"/>
      <c r="V25" s="44" t="s">
        <v>19</v>
      </c>
      <c r="W25" s="65"/>
      <c r="X25" s="65">
        <f t="shared" ref="X25:Z27" si="3">1-N25</f>
        <v>0.96746956630833481</v>
      </c>
      <c r="Y25" s="65">
        <f t="shared" si="3"/>
        <v>0.75650291509404322</v>
      </c>
      <c r="Z25" s="65">
        <f t="shared" si="3"/>
        <v>0.79899446254293038</v>
      </c>
    </row>
    <row r="26" spans="1:26" x14ac:dyDescent="0.25">
      <c r="A26" s="44" t="s">
        <v>20</v>
      </c>
      <c r="B26" s="61">
        <v>1</v>
      </c>
      <c r="C26" s="64" t="s">
        <v>346</v>
      </c>
      <c r="D26" s="61">
        <f>+'Option 1, Step 1'!Q26</f>
        <v>854378.01505099889</v>
      </c>
      <c r="E26" s="61">
        <f>+D26+(G26-D26)*'Option 2, Step 1'!AJ25</f>
        <v>920907.80197177327</v>
      </c>
      <c r="F26" s="105">
        <f>+'Option 3, Step 1'!B25</f>
        <v>1356745.7097831494</v>
      </c>
      <c r="G26" s="61">
        <f>+'Option 4, Step 1'!C25</f>
        <v>1848978.0150509989</v>
      </c>
      <c r="H26" s="165"/>
      <c r="I26" s="61">
        <v>522100</v>
      </c>
      <c r="J26" s="165"/>
      <c r="K26" s="44" t="s">
        <v>20</v>
      </c>
      <c r="L26" s="61">
        <v>1</v>
      </c>
      <c r="M26" s="103">
        <f>+D26/'Option 1, Step 1'!Q26</f>
        <v>1</v>
      </c>
      <c r="N26" s="103">
        <f>+E26/'Option 2, Step 1'!B25</f>
        <v>1</v>
      </c>
      <c r="O26" s="103">
        <f>+F26/'Option 3, Step 1'!B25</f>
        <v>1</v>
      </c>
      <c r="P26" s="103">
        <f>+G26/'Option 4, Step 1'!C25</f>
        <v>1</v>
      </c>
      <c r="Q26" s="107">
        <f>+(G26-D26)/'Option 1, Step 1'!Q26</f>
        <v>1.1641217148367646</v>
      </c>
      <c r="R26" s="108">
        <f>+(G26-E26)/'Option 2, Step 1'!B25</f>
        <v>1.0077775550300658</v>
      </c>
      <c r="S26" s="108">
        <f>+(G26-F26)/'Option 3, Step 1'!B25</f>
        <v>0.36280365710279167</v>
      </c>
      <c r="T26" s="111"/>
      <c r="U26" s="65"/>
      <c r="V26" s="44" t="s">
        <v>20</v>
      </c>
      <c r="W26" s="65">
        <f>1-M26</f>
        <v>0</v>
      </c>
      <c r="X26" s="65">
        <f t="shared" si="3"/>
        <v>0</v>
      </c>
      <c r="Y26" s="65">
        <f t="shared" si="3"/>
        <v>0</v>
      </c>
      <c r="Z26" s="65">
        <f t="shared" si="3"/>
        <v>0</v>
      </c>
    </row>
    <row r="27" spans="1:26" ht="25.5" x14ac:dyDescent="0.25">
      <c r="A27" s="44" t="s">
        <v>21</v>
      </c>
      <c r="B27" s="106" t="s">
        <v>32</v>
      </c>
      <c r="C27" s="102" t="s">
        <v>359</v>
      </c>
      <c r="D27" s="61">
        <f>+'Option 1, Step 1'!Q27*15%</f>
        <v>43639.735794389773</v>
      </c>
      <c r="E27" s="61">
        <f>+D27+(G27-D27)*'Option 2, Step 1'!AJ26</f>
        <v>48735.637186694483</v>
      </c>
      <c r="F27" s="61">
        <f>+D27+(G27-D27)*(1-'Option 3, Step 1'!P26/'Option 4, Step 1'!C26)</f>
        <v>121936.18173731418</v>
      </c>
      <c r="G27" s="61">
        <f>86500+D27</f>
        <v>130139.73579438977</v>
      </c>
      <c r="H27" s="165"/>
      <c r="I27" s="61">
        <v>86500</v>
      </c>
      <c r="J27" s="165"/>
      <c r="K27" s="44" t="s">
        <v>21</v>
      </c>
      <c r="L27" s="106" t="s">
        <v>32</v>
      </c>
      <c r="M27" s="103">
        <f>+D27/'Option 1, Step 1'!Q27</f>
        <v>0.15</v>
      </c>
      <c r="N27" s="65">
        <f>+E27/'Option 2, Step 1'!B26</f>
        <v>0.1582545873482053</v>
      </c>
      <c r="O27" s="65">
        <f>+F27/'Option 3, Step 1'!B26</f>
        <v>0.28819331221576233</v>
      </c>
      <c r="P27" s="65">
        <f>+G27/'Option 4, Step 1'!C26</f>
        <v>0.22440533001845753</v>
      </c>
      <c r="Q27" s="107"/>
      <c r="R27" s="108"/>
      <c r="S27" s="108">
        <f>+(G27-F27)/'Option 3, Step 1'!B26</f>
        <v>1.9388908049809684E-2</v>
      </c>
      <c r="T27" s="108"/>
      <c r="U27" s="65"/>
      <c r="V27" s="44" t="s">
        <v>21</v>
      </c>
      <c r="W27" s="65">
        <f>1-M27</f>
        <v>0.85</v>
      </c>
      <c r="X27" s="65">
        <f t="shared" si="3"/>
        <v>0.8417454126517947</v>
      </c>
      <c r="Y27" s="65">
        <f t="shared" si="3"/>
        <v>0.71180668778423772</v>
      </c>
      <c r="Z27" s="65">
        <f t="shared" si="3"/>
        <v>0.77559466998154247</v>
      </c>
    </row>
    <row r="28" spans="1:26" x14ac:dyDescent="0.25">
      <c r="A28" s="44" t="s">
        <v>22</v>
      </c>
      <c r="B28" s="61">
        <v>2</v>
      </c>
      <c r="C28" s="64"/>
      <c r="D28" s="61"/>
      <c r="E28" s="61"/>
      <c r="F28" s="61"/>
      <c r="G28" s="61"/>
      <c r="H28" s="165"/>
      <c r="I28" s="61">
        <v>216000.00000000003</v>
      </c>
      <c r="J28" s="165"/>
      <c r="K28" s="44" t="s">
        <v>22</v>
      </c>
      <c r="L28" s="61">
        <v>2</v>
      </c>
      <c r="M28" s="65"/>
      <c r="N28" s="65"/>
      <c r="Q28" s="109"/>
      <c r="R28" s="110"/>
      <c r="S28" s="110"/>
      <c r="T28" s="110"/>
      <c r="V28" s="44" t="s">
        <v>22</v>
      </c>
      <c r="W28" s="65"/>
      <c r="X28" s="65"/>
    </row>
    <row r="29" spans="1:26" x14ac:dyDescent="0.25">
      <c r="A29" s="44" t="s">
        <v>23</v>
      </c>
      <c r="B29" s="61">
        <v>3</v>
      </c>
      <c r="C29" s="64" t="s">
        <v>94</v>
      </c>
      <c r="D29" s="61"/>
      <c r="E29" s="61">
        <f>+G29*'Option 2, Step 1'!AJ28</f>
        <v>9767.7543212142591</v>
      </c>
      <c r="F29" s="64">
        <f>+G29*(1-'Option 3, Step 1'!P28/'Option 4, Step 1'!C28)</f>
        <v>105686.55952780719</v>
      </c>
      <c r="G29" s="61">
        <v>122400</v>
      </c>
      <c r="H29" s="165"/>
      <c r="I29" s="61">
        <v>122400</v>
      </c>
      <c r="J29" s="165"/>
      <c r="K29" s="44" t="s">
        <v>23</v>
      </c>
      <c r="L29" s="61">
        <v>3</v>
      </c>
      <c r="M29" s="65"/>
      <c r="N29" s="65">
        <f>+E29/'Option 2, Step 1'!B28</f>
        <v>3.2572202320078146E-2</v>
      </c>
      <c r="O29" s="65">
        <f>+F29/'Option 3, Step 1'!B28</f>
        <v>0.30535988511683831</v>
      </c>
      <c r="P29" s="65">
        <f>+G29/'Option 4, Step 1'!C28</f>
        <v>0.23774453018766453</v>
      </c>
      <c r="Q29" s="107"/>
      <c r="R29" s="108"/>
      <c r="S29" s="108">
        <f>(G29-F29)/'Option 3, Step 1'!B28</f>
        <v>4.82900974854149E-2</v>
      </c>
      <c r="T29" s="108"/>
      <c r="U29" s="65"/>
      <c r="V29" s="44" t="s">
        <v>23</v>
      </c>
      <c r="W29" s="65"/>
      <c r="X29" s="65">
        <f t="shared" ref="X29:Z30" si="4">1-N29</f>
        <v>0.96742779767992182</v>
      </c>
      <c r="Y29" s="65">
        <f t="shared" si="4"/>
        <v>0.69464011488316169</v>
      </c>
      <c r="Z29" s="65">
        <f t="shared" si="4"/>
        <v>0.7622554698123355</v>
      </c>
    </row>
    <row r="30" spans="1:26" x14ac:dyDescent="0.25">
      <c r="A30" s="44" t="s">
        <v>24</v>
      </c>
      <c r="B30" s="61">
        <v>3</v>
      </c>
      <c r="C30" s="64" t="s">
        <v>94</v>
      </c>
      <c r="D30" s="61"/>
      <c r="E30" s="61">
        <f>+G30*'Option 2, Step 1'!AJ29</f>
        <v>1656.0712346230844</v>
      </c>
      <c r="F30" s="64">
        <f>+(G30)*(1-'Option 3, Step 1'!P29/'Option 4, Step 1'!C29)</f>
        <v>21095.643140006727</v>
      </c>
      <c r="G30" s="61">
        <f>+I30</f>
        <v>23900</v>
      </c>
      <c r="H30" s="165"/>
      <c r="I30" s="61">
        <v>23900</v>
      </c>
      <c r="J30" s="165"/>
      <c r="K30" s="44" t="s">
        <v>24</v>
      </c>
      <c r="L30" s="106" t="s">
        <v>32</v>
      </c>
      <c r="M30" s="65"/>
      <c r="N30" s="65">
        <f>+E30/'Option 2, Step 1'!B29</f>
        <v>3.2343393319580721E-2</v>
      </c>
      <c r="O30" s="65">
        <f>+F30/'Option 3, Step 1'!B29</f>
        <v>0.28042255686184753</v>
      </c>
      <c r="P30" s="65">
        <f>+G30/'Option 4, Step 1'!C29</f>
        <v>0.22986531639289123</v>
      </c>
      <c r="Q30" s="107"/>
      <c r="R30" s="108"/>
      <c r="S30" s="108">
        <f>(G30-F30)/'Option 3, Step 1'!B29</f>
        <v>3.7278072814049559E-2</v>
      </c>
      <c r="T30" s="108"/>
      <c r="U30" s="65"/>
      <c r="V30" s="44" t="s">
        <v>24</v>
      </c>
      <c r="W30" s="65"/>
      <c r="X30" s="65">
        <f t="shared" si="4"/>
        <v>0.96765660668041931</v>
      </c>
      <c r="Y30" s="65">
        <f t="shared" si="4"/>
        <v>0.71957744313815253</v>
      </c>
      <c r="Z30" s="65">
        <f t="shared" si="4"/>
        <v>0.77013468360710879</v>
      </c>
    </row>
    <row r="31" spans="1:26" x14ac:dyDescent="0.25">
      <c r="A31" s="44" t="s">
        <v>25</v>
      </c>
      <c r="B31" s="61">
        <v>2</v>
      </c>
      <c r="C31" s="61"/>
      <c r="D31" s="61"/>
      <c r="E31" s="61"/>
      <c r="F31" s="61"/>
      <c r="G31" s="61"/>
      <c r="H31" s="165"/>
      <c r="I31" s="61">
        <v>120299.99999999999</v>
      </c>
      <c r="J31" s="165"/>
      <c r="K31" s="44" t="s">
        <v>25</v>
      </c>
      <c r="L31" s="61">
        <v>2</v>
      </c>
      <c r="M31" s="65"/>
      <c r="N31" s="65"/>
      <c r="Q31" s="109"/>
      <c r="R31" s="110"/>
      <c r="S31" s="110"/>
      <c r="T31" s="110"/>
      <c r="V31" s="44" t="s">
        <v>25</v>
      </c>
      <c r="W31" s="65"/>
      <c r="X31" s="65"/>
    </row>
    <row r="32" spans="1:26" x14ac:dyDescent="0.25">
      <c r="A32" s="96" t="s">
        <v>347</v>
      </c>
      <c r="B32" s="96"/>
    </row>
    <row r="33" spans="1:2" x14ac:dyDescent="0.25">
      <c r="A33" s="96" t="s">
        <v>349</v>
      </c>
      <c r="B33" s="96"/>
    </row>
    <row r="35" spans="1:2" x14ac:dyDescent="0.25">
      <c r="B35" s="60">
        <f>+COUNTIF(B5:B31,2)</f>
        <v>15</v>
      </c>
    </row>
  </sheetData>
  <mergeCells count="5">
    <mergeCell ref="W2:Z2"/>
    <mergeCell ref="M2:P2"/>
    <mergeCell ref="M1:T1"/>
    <mergeCell ref="Q2:T2"/>
    <mergeCell ref="W1:Z1"/>
  </mergeCells>
  <pageMargins left="0.7" right="0.7" top="0.75" bottom="0.75" header="0.3" footer="0.3"/>
  <pageSetup orientation="portrait" horizontalDpi="1200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31"/>
  <sheetViews>
    <sheetView workbookViewId="0">
      <selection activeCell="B1" sqref="B1"/>
    </sheetView>
  </sheetViews>
  <sheetFormatPr defaultColWidth="9.140625" defaultRowHeight="12.75" x14ac:dyDescent="0.2"/>
  <cols>
    <col min="1" max="1" width="9.140625" style="43"/>
    <col min="2" max="2" width="14.85546875" style="43" customWidth="1"/>
    <col min="3" max="3" width="15.85546875" style="43" customWidth="1"/>
    <col min="4" max="4" width="10.28515625" style="43" customWidth="1"/>
    <col min="5" max="5" width="26.85546875" style="43" customWidth="1"/>
    <col min="6" max="6" width="9.140625" style="43"/>
    <col min="7" max="7" width="10" style="43" customWidth="1"/>
    <col min="8" max="8" width="17.28515625" style="43" customWidth="1"/>
    <col min="9" max="16384" width="9.140625" style="43"/>
  </cols>
  <sheetData>
    <row r="1" spans="1:8" ht="38.25" x14ac:dyDescent="0.2">
      <c r="A1" s="44" t="s">
        <v>269</v>
      </c>
      <c r="B1" s="63" t="s">
        <v>270</v>
      </c>
      <c r="C1" s="63" t="s">
        <v>271</v>
      </c>
      <c r="D1" s="63" t="s">
        <v>273</v>
      </c>
      <c r="E1" s="63" t="s">
        <v>393</v>
      </c>
      <c r="G1" s="59" t="s">
        <v>272</v>
      </c>
      <c r="H1" s="59" t="s">
        <v>355</v>
      </c>
    </row>
    <row r="2" spans="1:8" x14ac:dyDescent="0.2">
      <c r="A2" s="44" t="s">
        <v>72</v>
      </c>
      <c r="C2" s="66"/>
      <c r="E2" s="52">
        <f>+SUMPRODUCT(E3:E29,H3:H29)/H2</f>
        <v>0.59858751450427461</v>
      </c>
      <c r="G2" s="43">
        <v>60</v>
      </c>
      <c r="H2" s="46">
        <f>+'Option 4, Step 1'!N3</f>
        <v>35137491.975000009</v>
      </c>
    </row>
    <row r="3" spans="1:8" x14ac:dyDescent="0.2">
      <c r="A3" s="44" t="s">
        <v>0</v>
      </c>
      <c r="B3" s="43">
        <v>3</v>
      </c>
      <c r="C3" s="66">
        <v>26.329257771338249</v>
      </c>
      <c r="D3" s="43">
        <v>98</v>
      </c>
      <c r="E3" s="52">
        <f>+G3/100</f>
        <v>0.98</v>
      </c>
      <c r="G3" s="43">
        <v>98</v>
      </c>
      <c r="H3" s="46">
        <f>+'Option 4, Step 1'!N4</f>
        <v>461617.36773347674</v>
      </c>
    </row>
    <row r="4" spans="1:8" x14ac:dyDescent="0.2">
      <c r="A4" s="44" t="s">
        <v>1</v>
      </c>
      <c r="B4" s="43">
        <v>3</v>
      </c>
      <c r="C4" s="66">
        <v>50.259364692928806</v>
      </c>
      <c r="D4" s="67">
        <v>92.9</v>
      </c>
      <c r="E4" s="52">
        <f t="shared" ref="E4:E29" si="0">+G4/100</f>
        <v>0.92900000000000005</v>
      </c>
      <c r="G4" s="67">
        <v>92.9</v>
      </c>
      <c r="H4" s="46">
        <f>+'Option 4, Step 1'!N5</f>
        <v>891436.2755992543</v>
      </c>
    </row>
    <row r="5" spans="1:8" x14ac:dyDescent="0.2">
      <c r="A5" s="44" t="s">
        <v>2</v>
      </c>
      <c r="B5" s="43">
        <v>1</v>
      </c>
      <c r="C5" s="66">
        <v>12.829428989751099</v>
      </c>
      <c r="D5" s="67">
        <v>22.9</v>
      </c>
      <c r="E5" s="52">
        <f t="shared" si="0"/>
        <v>0.22899999999999998</v>
      </c>
      <c r="G5" s="67">
        <v>22.9</v>
      </c>
      <c r="H5" s="46">
        <f>+'Option 4, Step 1'!N6</f>
        <v>432533.80246108072</v>
      </c>
    </row>
    <row r="6" spans="1:8" x14ac:dyDescent="0.2">
      <c r="A6" s="44" t="s">
        <v>3</v>
      </c>
      <c r="B6" s="43">
        <v>0</v>
      </c>
      <c r="C6" s="43">
        <v>43.7</v>
      </c>
      <c r="D6" s="43">
        <v>44</v>
      </c>
      <c r="E6" s="52">
        <f t="shared" si="0"/>
        <v>0.44</v>
      </c>
      <c r="G6" s="43">
        <v>44</v>
      </c>
      <c r="H6" s="46">
        <f>+'Option 4, Step 1'!N7</f>
        <v>99737.862643888526</v>
      </c>
    </row>
    <row r="7" spans="1:8" x14ac:dyDescent="0.2">
      <c r="A7" s="44" t="s">
        <v>4</v>
      </c>
      <c r="B7" s="43">
        <v>1</v>
      </c>
      <c r="C7" s="66">
        <v>11.498154477101846</v>
      </c>
      <c r="D7" s="67">
        <v>30.4</v>
      </c>
      <c r="E7" s="52">
        <f t="shared" si="0"/>
        <v>0.30399999999999999</v>
      </c>
      <c r="G7" s="67">
        <v>30.4</v>
      </c>
      <c r="H7" s="46">
        <f>+'Option 4, Step 1'!N8</f>
        <v>1031588.5526261812</v>
      </c>
    </row>
    <row r="8" spans="1:8" x14ac:dyDescent="0.2">
      <c r="A8" s="44" t="s">
        <v>5</v>
      </c>
      <c r="B8" s="43">
        <v>1</v>
      </c>
      <c r="C8" s="66">
        <v>16.511068384256163</v>
      </c>
      <c r="D8" s="43">
        <v>54</v>
      </c>
      <c r="E8" s="52">
        <f t="shared" si="0"/>
        <v>0.54</v>
      </c>
      <c r="G8" s="67">
        <v>54</v>
      </c>
      <c r="H8" s="46">
        <f>+'Option 4, Step 1'!N9</f>
        <v>4340085.9778366378</v>
      </c>
    </row>
    <row r="9" spans="1:8" x14ac:dyDescent="0.2">
      <c r="A9" s="44" t="s">
        <v>6</v>
      </c>
      <c r="B9" s="43">
        <v>0</v>
      </c>
      <c r="C9" s="66">
        <v>66.489897721155572</v>
      </c>
      <c r="D9" s="43">
        <v>82</v>
      </c>
      <c r="E9" s="52">
        <f t="shared" si="0"/>
        <v>0.82</v>
      </c>
      <c r="G9" s="67">
        <v>82</v>
      </c>
      <c r="H9" s="46">
        <f>+'Option 4, Step 1'!N10</f>
        <v>292246.63918126479</v>
      </c>
    </row>
    <row r="10" spans="1:8" x14ac:dyDescent="0.2">
      <c r="A10" s="44" t="s">
        <v>7</v>
      </c>
      <c r="B10" s="43">
        <v>1</v>
      </c>
      <c r="C10" s="66">
        <v>4.2543787878787871</v>
      </c>
      <c r="E10" s="52">
        <f t="shared" si="0"/>
        <v>4.2543787878787868E-2</v>
      </c>
      <c r="G10" s="67">
        <v>4.2543787878787871</v>
      </c>
      <c r="H10" s="46">
        <f>+'Option 4, Step 1'!N11</f>
        <v>89787.768132899422</v>
      </c>
    </row>
    <row r="11" spans="1:8" x14ac:dyDescent="0.2">
      <c r="A11" s="44" t="s">
        <v>8</v>
      </c>
      <c r="B11" s="43">
        <v>3</v>
      </c>
      <c r="C11" s="66">
        <v>13.629753361998569</v>
      </c>
      <c r="D11" s="67">
        <v>67.956837008664365</v>
      </c>
      <c r="E11" s="52">
        <f t="shared" si="0"/>
        <v>0.67956837008664361</v>
      </c>
      <c r="G11" s="67">
        <v>67.956837008664365</v>
      </c>
      <c r="H11" s="46">
        <f>+'Option 4, Step 1'!N12</f>
        <v>4806790.1838316899</v>
      </c>
    </row>
    <row r="12" spans="1:8" x14ac:dyDescent="0.2">
      <c r="A12" s="44" t="s">
        <v>9</v>
      </c>
      <c r="B12" s="43">
        <v>3</v>
      </c>
      <c r="C12" s="66">
        <v>60.33890557545439</v>
      </c>
      <c r="D12" s="43">
        <v>91</v>
      </c>
      <c r="E12" s="52">
        <f t="shared" si="0"/>
        <v>0.91</v>
      </c>
      <c r="G12" s="67">
        <v>91</v>
      </c>
      <c r="H12" s="46">
        <f>+'Option 4, Step 1'!N13</f>
        <v>539180.60689129448</v>
      </c>
    </row>
    <row r="13" spans="1:8" x14ac:dyDescent="0.2">
      <c r="A13" s="44" t="s">
        <v>10</v>
      </c>
      <c r="B13" s="43">
        <v>3</v>
      </c>
      <c r="C13" s="66">
        <v>8.8285836068368759</v>
      </c>
      <c r="D13" s="43">
        <v>94</v>
      </c>
      <c r="E13" s="52">
        <f t="shared" si="0"/>
        <v>0.94</v>
      </c>
      <c r="G13" s="67">
        <v>94</v>
      </c>
      <c r="H13" s="46">
        <f>+'Option 4, Step 1'!N14</f>
        <v>4057281.0958263204</v>
      </c>
    </row>
    <row r="14" spans="1:8" x14ac:dyDescent="0.2">
      <c r="A14" s="44" t="s">
        <v>11</v>
      </c>
      <c r="B14" s="43">
        <v>0</v>
      </c>
      <c r="C14" s="43">
        <v>20.2</v>
      </c>
      <c r="D14" s="67">
        <v>25.5</v>
      </c>
      <c r="E14" s="52">
        <f t="shared" si="0"/>
        <v>0.255</v>
      </c>
      <c r="G14" s="67">
        <v>25.5</v>
      </c>
      <c r="H14" s="46">
        <f>+'Option 4, Step 1'!N15</f>
        <v>846393.45662902668</v>
      </c>
    </row>
    <row r="15" spans="1:8" x14ac:dyDescent="0.2">
      <c r="A15" s="44" t="s">
        <v>26</v>
      </c>
      <c r="B15" s="43">
        <v>1</v>
      </c>
      <c r="C15" s="66">
        <v>20.229711141678131</v>
      </c>
      <c r="D15" s="67">
        <v>44.712562100780694</v>
      </c>
      <c r="E15" s="52">
        <f t="shared" si="0"/>
        <v>0.44712562100780695</v>
      </c>
      <c r="G15" s="67">
        <v>44.712562100780694</v>
      </c>
      <c r="H15" s="46">
        <f>+'Option 4, Step 1'!N16</f>
        <v>175902.67242023011</v>
      </c>
    </row>
    <row r="16" spans="1:8" x14ac:dyDescent="0.2">
      <c r="A16" s="44" t="s">
        <v>12</v>
      </c>
      <c r="B16" s="43">
        <v>1</v>
      </c>
      <c r="C16" s="66">
        <v>7.8695554445554441</v>
      </c>
      <c r="D16" s="67">
        <v>20.491899834149969</v>
      </c>
      <c r="E16" s="52">
        <f t="shared" si="0"/>
        <v>0.20491899834149968</v>
      </c>
      <c r="G16" s="67">
        <v>20.491899834149969</v>
      </c>
      <c r="H16" s="46">
        <f>+'Option 4, Step 1'!N17</f>
        <v>839995.11952434352</v>
      </c>
    </row>
    <row r="17" spans="1:8" x14ac:dyDescent="0.2">
      <c r="A17" s="44" t="s">
        <v>13</v>
      </c>
      <c r="B17" s="43">
        <v>1</v>
      </c>
      <c r="C17" s="66">
        <v>24.464935519950412</v>
      </c>
      <c r="D17" s="43">
        <v>34</v>
      </c>
      <c r="E17" s="52">
        <f t="shared" si="0"/>
        <v>0.34</v>
      </c>
      <c r="G17" s="67">
        <v>34</v>
      </c>
      <c r="H17" s="46">
        <f>+'Option 4, Step 1'!N18</f>
        <v>303616.23800586385</v>
      </c>
    </row>
    <row r="18" spans="1:8" x14ac:dyDescent="0.2">
      <c r="A18" s="44" t="s">
        <v>14</v>
      </c>
      <c r="B18" s="43">
        <v>3</v>
      </c>
      <c r="C18" s="66">
        <v>34.396212631733086</v>
      </c>
      <c r="D18" s="43">
        <v>80</v>
      </c>
      <c r="E18" s="52">
        <f t="shared" si="0"/>
        <v>0.8</v>
      </c>
      <c r="G18" s="67">
        <v>80</v>
      </c>
      <c r="H18" s="46">
        <f>+'Option 4, Step 1'!N19</f>
        <v>5675027.6870478727</v>
      </c>
    </row>
    <row r="19" spans="1:8" x14ac:dyDescent="0.2">
      <c r="A19" s="44" t="s">
        <v>15</v>
      </c>
      <c r="B19" s="43">
        <v>1</v>
      </c>
      <c r="C19" s="66">
        <v>7.1316808037552502</v>
      </c>
      <c r="D19" s="67">
        <v>7.1</v>
      </c>
      <c r="E19" s="52">
        <f t="shared" si="0"/>
        <v>7.0999999999999994E-2</v>
      </c>
      <c r="G19" s="67">
        <v>7.1</v>
      </c>
      <c r="H19" s="46">
        <f>+'Option 4, Step 1'!N20</f>
        <v>169614.31223185454</v>
      </c>
    </row>
    <row r="20" spans="1:8" x14ac:dyDescent="0.2">
      <c r="A20" s="44" t="s">
        <v>16</v>
      </c>
      <c r="B20" s="43">
        <v>3</v>
      </c>
      <c r="C20" s="66">
        <v>31.838290006872192</v>
      </c>
      <c r="D20" s="43">
        <v>59</v>
      </c>
      <c r="E20" s="52">
        <f t="shared" si="0"/>
        <v>0.59</v>
      </c>
      <c r="G20" s="67">
        <v>59</v>
      </c>
      <c r="H20" s="46">
        <f>+'Option 4, Step 1'!N21</f>
        <v>37453.81273735709</v>
      </c>
    </row>
    <row r="21" spans="1:8" x14ac:dyDescent="0.2">
      <c r="A21" s="44" t="s">
        <v>17</v>
      </c>
      <c r="B21" s="43">
        <v>1</v>
      </c>
      <c r="C21" s="66">
        <v>11.851700545093301</v>
      </c>
      <c r="E21" s="52">
        <f t="shared" si="0"/>
        <v>0.11851700545093301</v>
      </c>
      <c r="G21" s="67">
        <v>11.851700545093301</v>
      </c>
      <c r="H21" s="46">
        <f>+'Option 4, Step 1'!N22</f>
        <v>143407.90959603532</v>
      </c>
    </row>
    <row r="22" spans="1:8" x14ac:dyDescent="0.2">
      <c r="A22" s="44" t="s">
        <v>18</v>
      </c>
      <c r="B22" s="43">
        <v>0</v>
      </c>
      <c r="C22" s="66">
        <v>44.589782848446411</v>
      </c>
      <c r="D22" s="67">
        <v>50.1</v>
      </c>
      <c r="E22" s="52">
        <f t="shared" si="0"/>
        <v>0.501</v>
      </c>
      <c r="G22" s="67">
        <v>50.1</v>
      </c>
      <c r="H22" s="46">
        <f>+'Option 4, Step 1'!N23</f>
        <v>47537.280882292565</v>
      </c>
    </row>
    <row r="23" spans="1:8" x14ac:dyDescent="0.2">
      <c r="A23" s="44" t="s">
        <v>19</v>
      </c>
      <c r="B23" s="43">
        <v>2</v>
      </c>
      <c r="C23" s="66">
        <v>16.38896476372576</v>
      </c>
      <c r="D23" s="67">
        <v>76.7</v>
      </c>
      <c r="E23" s="52">
        <f t="shared" si="0"/>
        <v>0.76700000000000002</v>
      </c>
      <c r="G23" s="67">
        <v>76.7</v>
      </c>
      <c r="H23" s="46">
        <f>+'Option 4, Step 1'!N24</f>
        <v>2220573.5795630803</v>
      </c>
    </row>
    <row r="24" spans="1:8" x14ac:dyDescent="0.2">
      <c r="A24" s="44" t="s">
        <v>20</v>
      </c>
      <c r="B24" s="43">
        <v>1</v>
      </c>
      <c r="C24" s="43">
        <v>12.7</v>
      </c>
      <c r="E24" s="52">
        <f t="shared" si="0"/>
        <v>0.127</v>
      </c>
      <c r="G24" s="67">
        <v>12.7</v>
      </c>
      <c r="H24" s="46">
        <f>+'Option 4, Step 1'!N25</f>
        <v>3347071.504283377</v>
      </c>
    </row>
    <row r="25" spans="1:8" x14ac:dyDescent="0.2">
      <c r="A25" s="44" t="s">
        <v>21</v>
      </c>
      <c r="B25" s="43">
        <v>2</v>
      </c>
      <c r="C25" s="43">
        <v>15.3</v>
      </c>
      <c r="D25" s="67">
        <v>73.900000000000006</v>
      </c>
      <c r="E25" s="52">
        <f t="shared" si="0"/>
        <v>0.7390000000000001</v>
      </c>
      <c r="G25" s="67">
        <v>73.900000000000006</v>
      </c>
      <c r="H25" s="46">
        <f>+'Option 4, Step 1'!N26</f>
        <v>848582.68075176189</v>
      </c>
    </row>
    <row r="26" spans="1:8" x14ac:dyDescent="0.2">
      <c r="A26" s="44" t="s">
        <v>22</v>
      </c>
      <c r="B26" s="43">
        <v>1</v>
      </c>
      <c r="C26" s="66">
        <v>20</v>
      </c>
      <c r="D26" s="43">
        <v>23</v>
      </c>
      <c r="E26" s="52">
        <f t="shared" si="0"/>
        <v>0.23</v>
      </c>
      <c r="G26" s="43">
        <v>23</v>
      </c>
      <c r="H26" s="46">
        <f>+'Option 4, Step 1'!N27</f>
        <v>1702597.7009809953</v>
      </c>
    </row>
    <row r="27" spans="1:8" x14ac:dyDescent="0.2">
      <c r="A27" s="44" t="s">
        <v>23</v>
      </c>
      <c r="B27" s="43">
        <v>0</v>
      </c>
      <c r="C27" s="66">
        <v>65.620426265181351</v>
      </c>
      <c r="E27" s="52">
        <f t="shared" si="0"/>
        <v>0.65620426265181353</v>
      </c>
      <c r="G27" s="67">
        <v>65.620426265181351</v>
      </c>
      <c r="H27" s="46">
        <f>+'Option 4, Step 1'!N28</f>
        <v>920711.52012632473</v>
      </c>
    </row>
    <row r="28" spans="1:8" x14ac:dyDescent="0.2">
      <c r="A28" s="44" t="s">
        <v>24</v>
      </c>
      <c r="B28" s="43">
        <v>2</v>
      </c>
      <c r="C28" s="43">
        <v>20.399999999999999</v>
      </c>
      <c r="D28" s="67">
        <v>70.900000000000006</v>
      </c>
      <c r="E28" s="52">
        <f t="shared" si="0"/>
        <v>0.70900000000000007</v>
      </c>
      <c r="G28" s="67">
        <v>70.900000000000006</v>
      </c>
      <c r="H28" s="46">
        <f>+'Option 4, Step 1'!N29</f>
        <v>189881.63741568176</v>
      </c>
    </row>
    <row r="29" spans="1:8" x14ac:dyDescent="0.2">
      <c r="A29" s="44" t="s">
        <v>25</v>
      </c>
      <c r="B29" s="43">
        <v>2</v>
      </c>
      <c r="C29" s="43">
        <v>10.7</v>
      </c>
      <c r="E29" s="52">
        <f t="shared" si="0"/>
        <v>0.107</v>
      </c>
      <c r="G29" s="67">
        <v>10.7</v>
      </c>
      <c r="H29" s="46">
        <f>+'Option 4, Step 1'!N30</f>
        <v>626838.73003991682</v>
      </c>
    </row>
    <row r="31" spans="1:8" x14ac:dyDescent="0.2">
      <c r="E31" s="43" t="s">
        <v>356</v>
      </c>
    </row>
  </sheetData>
  <pageMargins left="0.7" right="0.7" top="0.75" bottom="0.75" header="0.3" footer="0.3"/>
  <pageSetup orientation="portrait" horizontalDpi="1200" verticalDpi="12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AC33"/>
  <sheetViews>
    <sheetView workbookViewId="0">
      <selection activeCell="E33" sqref="E33"/>
    </sheetView>
  </sheetViews>
  <sheetFormatPr defaultColWidth="9.140625" defaultRowHeight="15" x14ac:dyDescent="0.25"/>
  <cols>
    <col min="1" max="1" width="5.28515625" style="43" customWidth="1"/>
    <col min="2" max="2" width="6" style="43" customWidth="1"/>
    <col min="3" max="3" width="16.85546875" style="43" customWidth="1"/>
    <col min="4" max="4" width="21.7109375" style="43" customWidth="1"/>
    <col min="5" max="5" width="18.5703125" customWidth="1"/>
    <col min="6" max="6" width="16.85546875" style="43" customWidth="1"/>
    <col min="7" max="7" width="22.28515625" style="43" customWidth="1"/>
    <col min="8" max="8" width="15.140625" style="43" customWidth="1"/>
    <col min="9" max="9" width="9.140625" style="43"/>
    <col min="10" max="10" width="5.28515625" style="43" customWidth="1"/>
    <col min="11" max="11" width="12" style="43" customWidth="1"/>
    <col min="12" max="12" width="16.85546875" style="43" customWidth="1"/>
    <col min="13" max="13" width="21.7109375" style="43" customWidth="1"/>
    <col min="14" max="14" width="15.140625" style="43" customWidth="1"/>
    <col min="15" max="15" width="16.85546875" style="43" customWidth="1"/>
    <col min="16" max="16" width="9.140625" style="43"/>
    <col min="17" max="17" width="5.28515625" style="43" customWidth="1"/>
    <col min="18" max="18" width="12" style="43" customWidth="1"/>
    <col min="19" max="19" width="16.85546875" style="43" customWidth="1"/>
    <col min="20" max="20" width="21.7109375" style="43" customWidth="1"/>
    <col min="21" max="21" width="15.140625" style="43" customWidth="1"/>
    <col min="22" max="22" width="16.85546875" style="43" customWidth="1"/>
    <col min="23" max="23" width="9.140625" style="43"/>
    <col min="24" max="24" width="6.85546875" style="43" customWidth="1"/>
    <col min="25" max="25" width="11" style="43" customWidth="1"/>
    <col min="26" max="26" width="15.140625" style="43" customWidth="1"/>
    <col min="27" max="27" width="21.7109375" style="43" customWidth="1"/>
    <col min="28" max="28" width="15.85546875" style="43" customWidth="1"/>
    <col min="29" max="29" width="11.140625" style="43" customWidth="1"/>
    <col min="30" max="16384" width="9.140625" style="43"/>
  </cols>
  <sheetData>
    <row r="1" spans="1:29" x14ac:dyDescent="0.25">
      <c r="C1" s="43" t="s">
        <v>280</v>
      </c>
      <c r="L1" s="43" t="s">
        <v>281</v>
      </c>
      <c r="S1" s="43" t="s">
        <v>277</v>
      </c>
      <c r="Z1" s="43" t="s">
        <v>278</v>
      </c>
    </row>
    <row r="2" spans="1:29" ht="15.75" thickBot="1" x14ac:dyDescent="0.3">
      <c r="C2" s="43">
        <v>3</v>
      </c>
      <c r="D2" s="43">
        <v>4</v>
      </c>
      <c r="E2">
        <v>5</v>
      </c>
      <c r="F2" s="43">
        <v>6</v>
      </c>
      <c r="G2" s="81" t="s">
        <v>368</v>
      </c>
      <c r="H2" s="81" t="s">
        <v>358</v>
      </c>
      <c r="L2" s="43">
        <v>3</v>
      </c>
      <c r="M2" s="43">
        <v>4</v>
      </c>
      <c r="N2" s="43">
        <v>5</v>
      </c>
      <c r="O2" s="43">
        <v>6</v>
      </c>
      <c r="S2" s="43">
        <v>3</v>
      </c>
      <c r="T2" s="43">
        <v>4</v>
      </c>
      <c r="U2" s="43">
        <v>5</v>
      </c>
      <c r="V2" s="43">
        <v>6</v>
      </c>
      <c r="Z2" s="43">
        <v>3</v>
      </c>
      <c r="AA2" s="43">
        <v>4</v>
      </c>
      <c r="AB2" s="43">
        <v>5</v>
      </c>
      <c r="AC2" s="43">
        <v>6</v>
      </c>
    </row>
    <row r="3" spans="1:29" ht="25.5" x14ac:dyDescent="0.2">
      <c r="A3" s="151" t="s">
        <v>269</v>
      </c>
      <c r="B3" s="170" t="s">
        <v>369</v>
      </c>
      <c r="C3" s="171" t="s">
        <v>274</v>
      </c>
      <c r="D3" s="172" t="s">
        <v>276</v>
      </c>
      <c r="E3" s="172" t="s">
        <v>357</v>
      </c>
      <c r="F3" s="171" t="s">
        <v>145</v>
      </c>
      <c r="G3" s="172" t="s">
        <v>367</v>
      </c>
      <c r="H3" s="173" t="s">
        <v>275</v>
      </c>
      <c r="J3" s="44" t="s">
        <v>269</v>
      </c>
      <c r="K3" s="74" t="s">
        <v>279</v>
      </c>
      <c r="L3" s="68" t="s">
        <v>274</v>
      </c>
      <c r="M3" s="63" t="s">
        <v>276</v>
      </c>
      <c r="N3" s="68" t="s">
        <v>275</v>
      </c>
      <c r="O3" s="68" t="s">
        <v>145</v>
      </c>
      <c r="Q3" s="44" t="s">
        <v>269</v>
      </c>
      <c r="R3" s="74" t="s">
        <v>279</v>
      </c>
      <c r="S3" s="68" t="s">
        <v>274</v>
      </c>
      <c r="T3" s="63" t="s">
        <v>276</v>
      </c>
      <c r="U3" s="68" t="s">
        <v>275</v>
      </c>
      <c r="V3" s="68" t="s">
        <v>145</v>
      </c>
      <c r="X3" s="44" t="s">
        <v>269</v>
      </c>
      <c r="Y3" s="74" t="s">
        <v>279</v>
      </c>
      <c r="Z3" s="68" t="s">
        <v>274</v>
      </c>
      <c r="AA3" s="63" t="s">
        <v>276</v>
      </c>
      <c r="AB3" s="68" t="s">
        <v>275</v>
      </c>
      <c r="AC3" s="68" t="s">
        <v>145</v>
      </c>
    </row>
    <row r="4" spans="1:29" ht="12.75" x14ac:dyDescent="0.2">
      <c r="A4" s="174" t="s">
        <v>72</v>
      </c>
      <c r="B4" s="101"/>
      <c r="C4" s="175">
        <f>+SUMPRODUCT(C5:C31,'Step 3'!$H3:$H29)/'Step 3'!$H2</f>
        <v>0.5242068305830665</v>
      </c>
      <c r="D4" s="175">
        <f>+SUMPRODUCT(D5:D31,'Step 3'!$H3:$H29)/'Step 3'!$H2</f>
        <v>0.5323963545278636</v>
      </c>
      <c r="E4" s="175">
        <f>+SUMPRODUCT(E5:E31,'Step 3'!$H3:$H29)/'Step 3'!$H2</f>
        <v>0.61644954171397282</v>
      </c>
      <c r="F4" s="175">
        <f>+SUMPRODUCT(F5:F31,'Step 3'!$H3:$H29)/'Step 3'!$H2</f>
        <v>0.49611852703653286</v>
      </c>
      <c r="G4" s="175">
        <f>+SUMPRODUCT(G5:G31,'Option 2, Step 1'!AD4:AD30)/'Option 2, Step 1'!AD3</f>
        <v>0.49307734433445405</v>
      </c>
      <c r="H4" s="176">
        <f>+SUMPRODUCT(H5:H31,'Step 3'!$H3:$H29)/'Step 3'!$H2</f>
        <v>0.47023231559255574</v>
      </c>
      <c r="J4" s="44"/>
      <c r="K4" s="74"/>
      <c r="L4" s="68"/>
      <c r="M4" s="63"/>
      <c r="N4" s="68"/>
      <c r="O4" s="68"/>
      <c r="Q4" s="44"/>
      <c r="R4" s="74"/>
      <c r="S4" s="68"/>
      <c r="T4" s="63"/>
      <c r="U4" s="68"/>
      <c r="V4" s="68"/>
      <c r="X4" s="44"/>
      <c r="Y4" s="74"/>
      <c r="Z4" s="68"/>
      <c r="AA4" s="63"/>
      <c r="AB4" s="68"/>
      <c r="AC4" s="68"/>
    </row>
    <row r="5" spans="1:29" ht="12.75" x14ac:dyDescent="0.2">
      <c r="A5" s="174" t="s">
        <v>0</v>
      </c>
      <c r="B5" s="101"/>
      <c r="C5" s="175">
        <f>1-S5</f>
        <v>0.27</v>
      </c>
      <c r="D5" s="177">
        <f t="shared" ref="D5:D31" si="0">1-T5</f>
        <v>0.30400000000000005</v>
      </c>
      <c r="E5" s="178">
        <f>+(F5*'Option 4, Step 1'!N4-H5*'Option 3, Step 1'!AB4)/'Option 3, Step 1'!M4</f>
        <v>0.34205902863667742</v>
      </c>
      <c r="F5" s="178">
        <f t="shared" ref="F5:F31" si="1">1-V5</f>
        <v>0.26</v>
      </c>
      <c r="G5" s="178">
        <f>+(F5*'Option 4, Step 1'!Q4-D5*'Option 2, Step 1'!P4)/'Option 2, Step 1'!AD4</f>
        <v>0.25169545964815321</v>
      </c>
      <c r="H5" s="179">
        <f t="shared" ref="H5:H31" si="2">1-U5</f>
        <v>0.30600000000000005</v>
      </c>
      <c r="J5" s="43" t="s">
        <v>0</v>
      </c>
      <c r="L5" s="71">
        <f>1-Z5</f>
        <v>0.58299999999999996</v>
      </c>
      <c r="M5" s="73">
        <f t="shared" ref="M5:M31" si="3">1-AA5</f>
        <v>0.54699999999999993</v>
      </c>
      <c r="N5" s="69">
        <f t="shared" ref="N5:N31" si="4">1-AB5</f>
        <v>0.57499999999999996</v>
      </c>
      <c r="O5" s="69">
        <f t="shared" ref="O5:O31" si="5">1-AC5</f>
        <v>0.56099999999999994</v>
      </c>
      <c r="Q5" s="43" t="s">
        <v>0</v>
      </c>
      <c r="S5" s="71">
        <v>0.73</v>
      </c>
      <c r="T5" s="73">
        <v>0.69599999999999995</v>
      </c>
      <c r="U5" s="69">
        <v>0.69399999999999995</v>
      </c>
      <c r="V5" s="69">
        <v>0.74</v>
      </c>
      <c r="X5" s="43" t="s">
        <v>0</v>
      </c>
      <c r="Z5" s="69">
        <v>0.41699999999999998</v>
      </c>
      <c r="AA5" s="69">
        <v>0.45300000000000001</v>
      </c>
      <c r="AB5" s="69">
        <v>0.42499999999999999</v>
      </c>
      <c r="AC5" s="69">
        <v>0.439</v>
      </c>
    </row>
    <row r="6" spans="1:29" ht="12.75" x14ac:dyDescent="0.2">
      <c r="A6" s="174" t="s">
        <v>1</v>
      </c>
      <c r="B6" s="101" t="s">
        <v>19</v>
      </c>
      <c r="C6" s="180">
        <f t="shared" ref="C6:C31" si="6">1-S6</f>
        <v>0.47499999999999998</v>
      </c>
      <c r="D6" s="180">
        <f t="shared" si="0"/>
        <v>0.40800000000000003</v>
      </c>
      <c r="E6" s="180">
        <f>+(F6*'Option 4, Step 1'!N5-H6*'Option 3, Step 1'!AB5)/'Option 3, Step 1'!M5</f>
        <v>0.5054959683401653</v>
      </c>
      <c r="F6" s="180">
        <f t="shared" si="1"/>
        <v>0.373</v>
      </c>
      <c r="G6" s="180">
        <f>+(F6*'Option 4, Step 1'!Q5-D6*'Option 2, Step 1'!P5)/'Option 2, Step 1'!AD5</f>
        <v>0.37067250771192972</v>
      </c>
      <c r="H6" s="181">
        <f t="shared" si="2"/>
        <v>0.28600000000000003</v>
      </c>
      <c r="J6" s="43" t="s">
        <v>1</v>
      </c>
      <c r="K6" s="43" t="s">
        <v>19</v>
      </c>
      <c r="L6" s="72">
        <f t="shared" ref="L6:L31" si="7">1-Z6</f>
        <v>0.68199999999999994</v>
      </c>
      <c r="M6" s="72">
        <f t="shared" si="3"/>
        <v>0.67100000000000004</v>
      </c>
      <c r="N6" s="72">
        <f t="shared" si="4"/>
        <v>0.54499999999999993</v>
      </c>
      <c r="O6" s="72">
        <f t="shared" si="5"/>
        <v>0.59599999999999997</v>
      </c>
      <c r="Q6" s="43" t="s">
        <v>1</v>
      </c>
      <c r="R6" s="43" t="s">
        <v>19</v>
      </c>
      <c r="S6" s="72">
        <f>+VLOOKUP($R6,$Q$5:$V$31,S$2,0)</f>
        <v>0.52500000000000002</v>
      </c>
      <c r="T6" s="72">
        <f t="shared" ref="T6:V9" si="8">+VLOOKUP($R6,$Q$5:$V$31,T$2,0)</f>
        <v>0.59199999999999997</v>
      </c>
      <c r="U6" s="72">
        <f t="shared" si="8"/>
        <v>0.71399999999999997</v>
      </c>
      <c r="V6" s="72">
        <f t="shared" si="8"/>
        <v>0.627</v>
      </c>
      <c r="X6" s="43" t="s">
        <v>1</v>
      </c>
      <c r="Y6" s="43" t="s">
        <v>19</v>
      </c>
      <c r="Z6" s="72">
        <f>+VLOOKUP($Y6,$X$5:$AC$31,Z$2,0)</f>
        <v>0.318</v>
      </c>
      <c r="AA6" s="72">
        <f t="shared" ref="AA6:AC9" si="9">+VLOOKUP($Y6,$X$5:$AC$31,AA$2,0)</f>
        <v>0.32900000000000001</v>
      </c>
      <c r="AB6" s="72">
        <f t="shared" si="9"/>
        <v>0.45500000000000002</v>
      </c>
      <c r="AC6" s="72">
        <f t="shared" si="9"/>
        <v>0.40400000000000003</v>
      </c>
    </row>
    <row r="7" spans="1:29" ht="12.75" x14ac:dyDescent="0.2">
      <c r="A7" s="174" t="s">
        <v>2</v>
      </c>
      <c r="B7" s="101" t="s">
        <v>20</v>
      </c>
      <c r="C7" s="180">
        <f t="shared" si="6"/>
        <v>0.43700000000000006</v>
      </c>
      <c r="D7" s="180">
        <f t="shared" si="0"/>
        <v>0.48799999999999999</v>
      </c>
      <c r="E7" s="180">
        <f>+(F7*'Option 4, Step 1'!N6-H7*'Option 3, Step 1'!AB6)/'Option 3, Step 1'!M6</f>
        <v>0.54052330569183504</v>
      </c>
      <c r="F7" s="180">
        <f t="shared" si="1"/>
        <v>0.40900000000000003</v>
      </c>
      <c r="G7" s="180">
        <f>+(F7*'Option 4, Step 1'!Q6-D7*'Option 2, Step 1'!P6)/'Option 2, Step 1'!AD6</f>
        <v>0.39989073246334289</v>
      </c>
      <c r="H7" s="181">
        <f t="shared" si="2"/>
        <v>0.46499999999999997</v>
      </c>
      <c r="J7" s="43" t="s">
        <v>2</v>
      </c>
      <c r="K7" s="43" t="s">
        <v>20</v>
      </c>
      <c r="L7" s="72">
        <f t="shared" si="7"/>
        <v>0.65799999999999992</v>
      </c>
      <c r="M7" s="72">
        <f t="shared" si="3"/>
        <v>0.65200000000000002</v>
      </c>
      <c r="N7" s="72">
        <f t="shared" si="4"/>
        <v>0.54800000000000004</v>
      </c>
      <c r="O7" s="72">
        <f t="shared" si="5"/>
        <v>0.64800000000000002</v>
      </c>
      <c r="Q7" s="43" t="s">
        <v>2</v>
      </c>
      <c r="R7" s="43" t="s">
        <v>20</v>
      </c>
      <c r="S7" s="72">
        <f t="shared" ref="S7:S9" si="10">+VLOOKUP($R7,$Q$5:$V$31,S$2,0)</f>
        <v>0.56299999999999994</v>
      </c>
      <c r="T7" s="72">
        <f t="shared" si="8"/>
        <v>0.51200000000000001</v>
      </c>
      <c r="U7" s="72">
        <f t="shared" si="8"/>
        <v>0.53500000000000003</v>
      </c>
      <c r="V7" s="72">
        <f t="shared" si="8"/>
        <v>0.59099999999999997</v>
      </c>
      <c r="X7" s="43" t="s">
        <v>2</v>
      </c>
      <c r="Y7" s="43" t="s">
        <v>20</v>
      </c>
      <c r="Z7" s="72">
        <f t="shared" ref="Z7:Z9" si="11">+VLOOKUP($Y7,$X$5:$AC$31,Z$2,0)</f>
        <v>0.34200000000000003</v>
      </c>
      <c r="AA7" s="72">
        <f t="shared" si="9"/>
        <v>0.34799999999999998</v>
      </c>
      <c r="AB7" s="72">
        <f t="shared" si="9"/>
        <v>0.45200000000000001</v>
      </c>
      <c r="AC7" s="72">
        <f t="shared" si="9"/>
        <v>0.35199999999999998</v>
      </c>
    </row>
    <row r="8" spans="1:29" ht="12.75" x14ac:dyDescent="0.2">
      <c r="A8" s="174" t="s">
        <v>3</v>
      </c>
      <c r="B8" s="101" t="s">
        <v>5</v>
      </c>
      <c r="C8" s="180">
        <f t="shared" si="6"/>
        <v>0.21199999999999997</v>
      </c>
      <c r="D8" s="180">
        <f t="shared" si="0"/>
        <v>0.28800000000000003</v>
      </c>
      <c r="E8" s="180">
        <f>+(F8*'Option 4, Step 1'!N7-H8*'Option 3, Step 1'!AB7)/'Option 3, Step 1'!M7</f>
        <v>0.29973124772919801</v>
      </c>
      <c r="F8" s="180">
        <f t="shared" si="1"/>
        <v>0.246</v>
      </c>
      <c r="G8" s="180">
        <f>+(F8*'Option 4, Step 1'!Q7-D8*'Option 2, Step 1'!P7)/'Option 2, Step 1'!AD7</f>
        <v>0.24155583156014823</v>
      </c>
      <c r="H8" s="181">
        <f t="shared" si="2"/>
        <v>0.21899999999999997</v>
      </c>
      <c r="J8" s="43" t="s">
        <v>3</v>
      </c>
      <c r="K8" s="43" t="s">
        <v>5</v>
      </c>
      <c r="L8" s="72">
        <f t="shared" si="7"/>
        <v>0.54699999999999993</v>
      </c>
      <c r="M8" s="72">
        <f t="shared" si="3"/>
        <v>0.45699999999999996</v>
      </c>
      <c r="N8" s="72">
        <f t="shared" si="4"/>
        <v>0.45699999999999996</v>
      </c>
      <c r="O8" s="72">
        <f t="shared" si="5"/>
        <v>0.497</v>
      </c>
      <c r="Q8" s="43" t="s">
        <v>3</v>
      </c>
      <c r="R8" s="43" t="s">
        <v>5</v>
      </c>
      <c r="S8" s="72">
        <f t="shared" si="10"/>
        <v>0.78800000000000003</v>
      </c>
      <c r="T8" s="72">
        <f t="shared" si="8"/>
        <v>0.71199999999999997</v>
      </c>
      <c r="U8" s="72">
        <f t="shared" si="8"/>
        <v>0.78100000000000003</v>
      </c>
      <c r="V8" s="72">
        <f t="shared" si="8"/>
        <v>0.754</v>
      </c>
      <c r="X8" s="43" t="s">
        <v>3</v>
      </c>
      <c r="Y8" s="43" t="s">
        <v>5</v>
      </c>
      <c r="Z8" s="72">
        <f t="shared" si="11"/>
        <v>0.45300000000000001</v>
      </c>
      <c r="AA8" s="72">
        <f t="shared" si="9"/>
        <v>0.54300000000000004</v>
      </c>
      <c r="AB8" s="72">
        <f t="shared" si="9"/>
        <v>0.54300000000000004</v>
      </c>
      <c r="AC8" s="72">
        <f t="shared" si="9"/>
        <v>0.503</v>
      </c>
    </row>
    <row r="9" spans="1:29" ht="12.75" x14ac:dyDescent="0.2">
      <c r="A9" s="174" t="s">
        <v>4</v>
      </c>
      <c r="B9" s="101" t="s">
        <v>20</v>
      </c>
      <c r="C9" s="180">
        <f t="shared" si="6"/>
        <v>0.43700000000000006</v>
      </c>
      <c r="D9" s="180">
        <f t="shared" si="0"/>
        <v>0.48799999999999999</v>
      </c>
      <c r="E9" s="180">
        <f>+(F9*'Option 4, Step 1'!N8-H9*'Option 3, Step 1'!AB8)/'Option 3, Step 1'!M8</f>
        <v>0.44323827178750214</v>
      </c>
      <c r="F9" s="180">
        <f t="shared" si="1"/>
        <v>0.40900000000000003</v>
      </c>
      <c r="G9" s="180">
        <f>+(F9*'Option 4, Step 1'!Q8-D9*'Option 2, Step 1'!P8)/'Option 2, Step 1'!AD8</f>
        <v>0.40446687088216277</v>
      </c>
      <c r="H9" s="181">
        <f t="shared" si="2"/>
        <v>0.46499999999999997</v>
      </c>
      <c r="J9" s="43" t="s">
        <v>4</v>
      </c>
      <c r="K9" s="43" t="s">
        <v>20</v>
      </c>
      <c r="L9" s="72">
        <f t="shared" si="7"/>
        <v>0.65799999999999992</v>
      </c>
      <c r="M9" s="72">
        <f t="shared" si="3"/>
        <v>0.65200000000000002</v>
      </c>
      <c r="N9" s="72">
        <f t="shared" si="4"/>
        <v>0.54800000000000004</v>
      </c>
      <c r="O9" s="72">
        <f t="shared" si="5"/>
        <v>0.64800000000000002</v>
      </c>
      <c r="Q9" s="43" t="s">
        <v>4</v>
      </c>
      <c r="R9" s="43" t="s">
        <v>20</v>
      </c>
      <c r="S9" s="72">
        <f t="shared" si="10"/>
        <v>0.56299999999999994</v>
      </c>
      <c r="T9" s="72">
        <f t="shared" si="8"/>
        <v>0.51200000000000001</v>
      </c>
      <c r="U9" s="72">
        <f t="shared" si="8"/>
        <v>0.53500000000000003</v>
      </c>
      <c r="V9" s="72">
        <f t="shared" si="8"/>
        <v>0.59099999999999997</v>
      </c>
      <c r="X9" s="43" t="s">
        <v>4</v>
      </c>
      <c r="Y9" s="43" t="s">
        <v>20</v>
      </c>
      <c r="Z9" s="72">
        <f t="shared" si="11"/>
        <v>0.34200000000000003</v>
      </c>
      <c r="AA9" s="72">
        <f t="shared" si="9"/>
        <v>0.34799999999999998</v>
      </c>
      <c r="AB9" s="72">
        <f t="shared" si="9"/>
        <v>0.45200000000000001</v>
      </c>
      <c r="AC9" s="72">
        <f t="shared" si="9"/>
        <v>0.35199999999999998</v>
      </c>
    </row>
    <row r="10" spans="1:29" ht="12.75" x14ac:dyDescent="0.2">
      <c r="A10" s="174" t="s">
        <v>5</v>
      </c>
      <c r="B10" s="101"/>
      <c r="C10" s="175">
        <f t="shared" si="6"/>
        <v>0.21199999999999997</v>
      </c>
      <c r="D10" s="178">
        <f t="shared" si="0"/>
        <v>0.28800000000000003</v>
      </c>
      <c r="E10" s="178">
        <f>+(F10*'Option 4, Step 1'!N9-H10*'Option 3, Step 1'!AB9)/'Option 3, Step 1'!M9</f>
        <v>0.29317625017598753</v>
      </c>
      <c r="F10" s="178">
        <f t="shared" si="1"/>
        <v>0.246</v>
      </c>
      <c r="G10" s="178">
        <f>+(F10*'Option 4, Step 1'!Q9-D10*'Option 2, Step 1'!P9)/'Option 2, Step 1'!AD9</f>
        <v>0.23553103494861494</v>
      </c>
      <c r="H10" s="179">
        <f t="shared" si="2"/>
        <v>0.21899999999999997</v>
      </c>
      <c r="J10" s="43" t="s">
        <v>5</v>
      </c>
      <c r="L10" s="71">
        <f t="shared" si="7"/>
        <v>0.54699999999999993</v>
      </c>
      <c r="M10" s="69">
        <f t="shared" si="3"/>
        <v>0.45699999999999996</v>
      </c>
      <c r="N10" s="69">
        <f t="shared" si="4"/>
        <v>0.45699999999999996</v>
      </c>
      <c r="O10" s="69">
        <f t="shared" si="5"/>
        <v>0.497</v>
      </c>
      <c r="Q10" s="43" t="s">
        <v>5</v>
      </c>
      <c r="S10" s="71">
        <v>0.78800000000000003</v>
      </c>
      <c r="T10" s="69">
        <v>0.71199999999999997</v>
      </c>
      <c r="U10" s="69">
        <v>0.78100000000000003</v>
      </c>
      <c r="V10" s="69">
        <v>0.754</v>
      </c>
      <c r="X10" s="43" t="s">
        <v>5</v>
      </c>
      <c r="Z10" s="69">
        <v>0.45300000000000001</v>
      </c>
      <c r="AA10" s="69">
        <v>0.54300000000000004</v>
      </c>
      <c r="AB10" s="69">
        <v>0.54300000000000004</v>
      </c>
      <c r="AC10" s="69">
        <v>0.503</v>
      </c>
    </row>
    <row r="11" spans="1:29" ht="12.75" x14ac:dyDescent="0.2">
      <c r="A11" s="174" t="s">
        <v>6</v>
      </c>
      <c r="B11" s="101" t="s">
        <v>23</v>
      </c>
      <c r="C11" s="180">
        <f t="shared" si="6"/>
        <v>0.47799999999999998</v>
      </c>
      <c r="D11" s="180">
        <f t="shared" si="0"/>
        <v>0.5</v>
      </c>
      <c r="E11" s="180">
        <f>+(F11*'Option 4, Step 1'!N10-H11*'Option 3, Step 1'!AB10)/'Option 3, Step 1'!M10</f>
        <v>0.60544982426565697</v>
      </c>
      <c r="F11" s="180">
        <f t="shared" si="1"/>
        <v>0.43300000000000005</v>
      </c>
      <c r="G11" s="180">
        <f>+(F11*'Option 4, Step 1'!Q10-D11*'Option 2, Step 1'!P10)/'Option 2, Step 1'!AD10</f>
        <v>0.42152297190681559</v>
      </c>
      <c r="H11" s="181">
        <f t="shared" si="2"/>
        <v>0.25</v>
      </c>
      <c r="J11" s="43" t="s">
        <v>6</v>
      </c>
      <c r="K11" s="43" t="s">
        <v>23</v>
      </c>
      <c r="L11" s="72">
        <f t="shared" si="7"/>
        <v>0.66999999999999993</v>
      </c>
      <c r="M11" s="72">
        <f t="shared" si="3"/>
        <v>0.45599999999999996</v>
      </c>
      <c r="N11" s="72">
        <f t="shared" si="4"/>
        <v>0.52700000000000002</v>
      </c>
      <c r="O11" s="72">
        <f t="shared" si="5"/>
        <v>0.55000000000000004</v>
      </c>
      <c r="Q11" s="43" t="s">
        <v>6</v>
      </c>
      <c r="R11" s="43" t="s">
        <v>23</v>
      </c>
      <c r="S11" s="72">
        <f t="shared" ref="S11:V12" si="12">+VLOOKUP($R11,$Q$5:$V$31,S$2,0)</f>
        <v>0.52200000000000002</v>
      </c>
      <c r="T11" s="72">
        <f t="shared" si="12"/>
        <v>0.5</v>
      </c>
      <c r="U11" s="72">
        <f t="shared" si="12"/>
        <v>0.75</v>
      </c>
      <c r="V11" s="72">
        <f t="shared" si="12"/>
        <v>0.56699999999999995</v>
      </c>
      <c r="X11" s="43" t="s">
        <v>6</v>
      </c>
      <c r="Y11" s="43" t="s">
        <v>23</v>
      </c>
      <c r="Z11" s="72">
        <f t="shared" ref="Z11:AC12" si="13">+VLOOKUP($Y11,$X$5:$AC$31,Z$2,0)</f>
        <v>0.33</v>
      </c>
      <c r="AA11" s="72">
        <f t="shared" si="13"/>
        <v>0.54400000000000004</v>
      </c>
      <c r="AB11" s="72">
        <f t="shared" si="13"/>
        <v>0.47299999999999998</v>
      </c>
      <c r="AC11" s="72">
        <f t="shared" si="13"/>
        <v>0.45</v>
      </c>
    </row>
    <row r="12" spans="1:29" ht="12.75" x14ac:dyDescent="0.2">
      <c r="A12" s="174" t="s">
        <v>7</v>
      </c>
      <c r="B12" s="101" t="s">
        <v>20</v>
      </c>
      <c r="C12" s="180">
        <f t="shared" si="6"/>
        <v>0.43700000000000006</v>
      </c>
      <c r="D12" s="180">
        <f t="shared" si="0"/>
        <v>0.48799999999999999</v>
      </c>
      <c r="E12" s="180">
        <f>+(F12*'Option 4, Step 1'!N11-H12*'Option 3, Step 1'!AB11)/'Option 3, Step 1'!M11</f>
        <v>0.51259237783252076</v>
      </c>
      <c r="F12" s="180">
        <f t="shared" si="1"/>
        <v>0.40900000000000003</v>
      </c>
      <c r="G12" s="180">
        <f>+(F12*'Option 4, Step 1'!Q11-D12*'Option 2, Step 1'!P11)/'Option 2, Step 1'!AD11</f>
        <v>0.39915641407993513</v>
      </c>
      <c r="H12" s="181">
        <f t="shared" si="2"/>
        <v>0.46499999999999997</v>
      </c>
      <c r="J12" s="43" t="s">
        <v>7</v>
      </c>
      <c r="K12" s="43" t="s">
        <v>20</v>
      </c>
      <c r="L12" s="72">
        <f t="shared" si="7"/>
        <v>0.65799999999999992</v>
      </c>
      <c r="M12" s="72">
        <f t="shared" si="3"/>
        <v>0.65200000000000002</v>
      </c>
      <c r="N12" s="72">
        <f t="shared" si="4"/>
        <v>0.54800000000000004</v>
      </c>
      <c r="O12" s="72">
        <f t="shared" si="5"/>
        <v>0.64800000000000002</v>
      </c>
      <c r="Q12" s="43" t="s">
        <v>7</v>
      </c>
      <c r="R12" s="43" t="s">
        <v>20</v>
      </c>
      <c r="S12" s="72">
        <f t="shared" si="12"/>
        <v>0.56299999999999994</v>
      </c>
      <c r="T12" s="72">
        <f t="shared" si="12"/>
        <v>0.51200000000000001</v>
      </c>
      <c r="U12" s="72">
        <f t="shared" si="12"/>
        <v>0.53500000000000003</v>
      </c>
      <c r="V12" s="72">
        <f t="shared" si="12"/>
        <v>0.59099999999999997</v>
      </c>
      <c r="X12" s="43" t="s">
        <v>7</v>
      </c>
      <c r="Y12" s="43" t="s">
        <v>20</v>
      </c>
      <c r="Z12" s="72">
        <f t="shared" si="13"/>
        <v>0.34200000000000003</v>
      </c>
      <c r="AA12" s="72">
        <f t="shared" si="13"/>
        <v>0.34799999999999998</v>
      </c>
      <c r="AB12" s="72">
        <f t="shared" si="13"/>
        <v>0.45200000000000001</v>
      </c>
      <c r="AC12" s="72">
        <f t="shared" si="13"/>
        <v>0.35199999999999998</v>
      </c>
    </row>
    <row r="13" spans="1:29" ht="12.75" x14ac:dyDescent="0.2">
      <c r="A13" s="174" t="s">
        <v>8</v>
      </c>
      <c r="B13" s="101"/>
      <c r="C13" s="175">
        <f t="shared" si="6"/>
        <v>0.70500000000000007</v>
      </c>
      <c r="D13" s="178">
        <f t="shared" si="0"/>
        <v>0.78600000000000003</v>
      </c>
      <c r="E13" s="178">
        <f>+(F13*'Option 4, Step 1'!N12-H13*'Option 3, Step 1'!AB12)/'Option 3, Step 1'!M12</f>
        <v>0.95046421896380995</v>
      </c>
      <c r="F13" s="178">
        <f t="shared" si="1"/>
        <v>0.71199999999999997</v>
      </c>
      <c r="G13" s="178">
        <f>+(F13*'Option 4, Step 1'!Q12-D13*'Option 2, Step 1'!P12)/'Option 2, Step 1'!AD12</f>
        <v>0.70658630677293632</v>
      </c>
      <c r="H13" s="179">
        <f t="shared" si="2"/>
        <v>0.63400000000000001</v>
      </c>
      <c r="J13" s="43" t="s">
        <v>8</v>
      </c>
      <c r="L13" s="71">
        <f t="shared" si="7"/>
        <v>0.621</v>
      </c>
      <c r="M13" s="69">
        <f t="shared" si="3"/>
        <v>0.56800000000000006</v>
      </c>
      <c r="N13" s="69">
        <f t="shared" si="4"/>
        <v>0.60599999999999998</v>
      </c>
      <c r="O13" s="69">
        <f t="shared" si="5"/>
        <v>0.627</v>
      </c>
      <c r="Q13" s="43" t="s">
        <v>8</v>
      </c>
      <c r="S13" s="71">
        <v>0.29499999999999998</v>
      </c>
      <c r="T13" s="69">
        <v>0.214</v>
      </c>
      <c r="U13" s="69">
        <v>0.36599999999999999</v>
      </c>
      <c r="V13" s="69">
        <v>0.28799999999999998</v>
      </c>
      <c r="X13" s="43" t="s">
        <v>8</v>
      </c>
      <c r="Z13" s="69">
        <v>0.379</v>
      </c>
      <c r="AA13" s="69">
        <v>0.432</v>
      </c>
      <c r="AB13" s="69">
        <v>0.39400000000000002</v>
      </c>
      <c r="AC13" s="69">
        <v>0.373</v>
      </c>
    </row>
    <row r="14" spans="1:29" ht="12.75" x14ac:dyDescent="0.2">
      <c r="A14" s="174" t="s">
        <v>9</v>
      </c>
      <c r="B14" s="101" t="s">
        <v>23</v>
      </c>
      <c r="C14" s="180">
        <f t="shared" si="6"/>
        <v>0.47799999999999998</v>
      </c>
      <c r="D14" s="180">
        <f t="shared" si="0"/>
        <v>0.5</v>
      </c>
      <c r="E14" s="180">
        <f>+(F14*'Option 4, Step 1'!N13-H14*'Option 3, Step 1'!AB13)/'Option 3, Step 1'!M13</f>
        <v>0.52742585346620996</v>
      </c>
      <c r="F14" s="180">
        <f t="shared" si="1"/>
        <v>0.43300000000000005</v>
      </c>
      <c r="G14" s="180">
        <f>+(F14*'Option 4, Step 1'!Q13-D14*'Option 2, Step 1'!P13)/'Option 2, Step 1'!AD13</f>
        <v>0.42438000072361465</v>
      </c>
      <c r="H14" s="181">
        <f t="shared" si="2"/>
        <v>0.25</v>
      </c>
      <c r="J14" s="43" t="s">
        <v>9</v>
      </c>
      <c r="K14" s="43" t="s">
        <v>23</v>
      </c>
      <c r="L14" s="72">
        <f t="shared" si="7"/>
        <v>0.66999999999999993</v>
      </c>
      <c r="M14" s="72">
        <f t="shared" si="3"/>
        <v>0.45599999999999996</v>
      </c>
      <c r="N14" s="72">
        <f t="shared" si="4"/>
        <v>0.52700000000000002</v>
      </c>
      <c r="O14" s="72">
        <f t="shared" si="5"/>
        <v>0.55000000000000004</v>
      </c>
      <c r="Q14" s="43" t="s">
        <v>9</v>
      </c>
      <c r="R14" s="43" t="s">
        <v>23</v>
      </c>
      <c r="S14" s="72">
        <f t="shared" ref="S14:V14" si="14">+VLOOKUP($R14,$Q$5:$V$31,S$2,0)</f>
        <v>0.52200000000000002</v>
      </c>
      <c r="T14" s="72">
        <f t="shared" si="14"/>
        <v>0.5</v>
      </c>
      <c r="U14" s="72">
        <f t="shared" si="14"/>
        <v>0.75</v>
      </c>
      <c r="V14" s="72">
        <f t="shared" si="14"/>
        <v>0.56699999999999995</v>
      </c>
      <c r="X14" s="43" t="s">
        <v>9</v>
      </c>
      <c r="Y14" s="43" t="s">
        <v>23</v>
      </c>
      <c r="Z14" s="72">
        <f t="shared" ref="Z14:AC14" si="15">+VLOOKUP($Y14,$X$5:$AC$31,Z$2,0)</f>
        <v>0.33</v>
      </c>
      <c r="AA14" s="72">
        <f t="shared" si="15"/>
        <v>0.54400000000000004</v>
      </c>
      <c r="AB14" s="72">
        <f t="shared" si="15"/>
        <v>0.47299999999999998</v>
      </c>
      <c r="AC14" s="72">
        <f t="shared" si="15"/>
        <v>0.45</v>
      </c>
    </row>
    <row r="15" spans="1:29" ht="12.75" x14ac:dyDescent="0.2">
      <c r="A15" s="174" t="s">
        <v>10</v>
      </c>
      <c r="B15" s="101"/>
      <c r="C15" s="175">
        <f t="shared" si="6"/>
        <v>0.57600000000000007</v>
      </c>
      <c r="D15" s="178">
        <f t="shared" si="0"/>
        <v>0.4</v>
      </c>
      <c r="E15" s="178">
        <f>+(F15*'Option 4, Step 1'!N14-H15*'Option 3, Step 1'!AB14)/'Option 3, Step 1'!M14</f>
        <v>0.63716056555526479</v>
      </c>
      <c r="F15" s="178">
        <f t="shared" si="1"/>
        <v>0.47599999999999998</v>
      </c>
      <c r="G15" s="178">
        <f>+(F15*'Option 4, Step 1'!Q14-D15*'Option 2, Step 1'!P14)/'Option 2, Step 1'!AD14</f>
        <v>0.48038013777062805</v>
      </c>
      <c r="H15" s="179">
        <f t="shared" si="2"/>
        <v>0.43300000000000005</v>
      </c>
      <c r="J15" s="43" t="s">
        <v>10</v>
      </c>
      <c r="L15" s="71">
        <f t="shared" si="7"/>
        <v>0.60299999999999998</v>
      </c>
      <c r="M15" s="69">
        <f t="shared" si="3"/>
        <v>0.54800000000000004</v>
      </c>
      <c r="N15" s="69">
        <f t="shared" si="4"/>
        <v>0.49399999999999999</v>
      </c>
      <c r="O15" s="69">
        <f t="shared" si="5"/>
        <v>0.55499999999999994</v>
      </c>
      <c r="Q15" s="43" t="s">
        <v>10</v>
      </c>
      <c r="S15" s="71">
        <v>0.42399999999999999</v>
      </c>
      <c r="T15" s="69">
        <v>0.6</v>
      </c>
      <c r="U15" s="69">
        <v>0.56699999999999995</v>
      </c>
      <c r="V15" s="69">
        <v>0.52400000000000002</v>
      </c>
      <c r="X15" s="43" t="s">
        <v>10</v>
      </c>
      <c r="Z15" s="69">
        <v>0.39700000000000002</v>
      </c>
      <c r="AA15" s="69">
        <v>0.45200000000000001</v>
      </c>
      <c r="AB15" s="69">
        <v>0.50600000000000001</v>
      </c>
      <c r="AC15" s="69">
        <v>0.44500000000000001</v>
      </c>
    </row>
    <row r="16" spans="1:29" ht="12.75" x14ac:dyDescent="0.2">
      <c r="A16" s="174" t="s">
        <v>11</v>
      </c>
      <c r="B16" s="101" t="s">
        <v>14</v>
      </c>
      <c r="C16" s="180">
        <f t="shared" si="6"/>
        <v>0.72499999999999998</v>
      </c>
      <c r="D16" s="180">
        <f t="shared" si="0"/>
        <v>0.71399999999999997</v>
      </c>
      <c r="E16" s="180">
        <f>+(F16*'Option 4, Step 1'!N15-H16*'Option 3, Step 1'!AB15)/'Option 3, Step 1'!M15</f>
        <v>0.8279845131127912</v>
      </c>
      <c r="F16" s="180">
        <f t="shared" si="1"/>
        <v>0.71</v>
      </c>
      <c r="G16" s="180">
        <f>+(F16*'Option 4, Step 1'!Q15-D16*'Option 2, Step 1'!P15)/'Option 2, Step 1'!AD15</f>
        <v>0.70974245758609844</v>
      </c>
      <c r="H16" s="181">
        <f t="shared" si="2"/>
        <v>0.7</v>
      </c>
      <c r="J16" s="43" t="s">
        <v>11</v>
      </c>
      <c r="K16" s="43" t="s">
        <v>14</v>
      </c>
      <c r="L16" s="72">
        <f t="shared" si="7"/>
        <v>0.56099999999999994</v>
      </c>
      <c r="M16" s="72">
        <f t="shared" si="3"/>
        <v>0.45099999999999996</v>
      </c>
      <c r="N16" s="72">
        <f t="shared" si="4"/>
        <v>0.45499999999999996</v>
      </c>
      <c r="O16" s="72">
        <f t="shared" si="5"/>
        <v>0.56699999999999995</v>
      </c>
      <c r="Q16" s="43" t="s">
        <v>11</v>
      </c>
      <c r="R16" s="43" t="s">
        <v>14</v>
      </c>
      <c r="S16" s="72">
        <f t="shared" ref="S16:V19" si="16">+VLOOKUP($R16,$Q$5:$V$31,S$2,0)</f>
        <v>0.27500000000000002</v>
      </c>
      <c r="T16" s="72">
        <f t="shared" si="16"/>
        <v>0.28599999999999998</v>
      </c>
      <c r="U16" s="72">
        <f t="shared" si="16"/>
        <v>0.3</v>
      </c>
      <c r="V16" s="72">
        <f t="shared" si="16"/>
        <v>0.28999999999999998</v>
      </c>
      <c r="X16" s="43" t="s">
        <v>11</v>
      </c>
      <c r="Y16" s="43" t="s">
        <v>14</v>
      </c>
      <c r="Z16" s="72">
        <f t="shared" ref="Z16:AC19" si="17">+VLOOKUP($Y16,$X$5:$AC$31,Z$2,0)</f>
        <v>0.439</v>
      </c>
      <c r="AA16" s="72">
        <f t="shared" si="17"/>
        <v>0.54900000000000004</v>
      </c>
      <c r="AB16" s="72">
        <f t="shared" si="17"/>
        <v>0.54500000000000004</v>
      </c>
      <c r="AC16" s="72">
        <f t="shared" si="17"/>
        <v>0.433</v>
      </c>
    </row>
    <row r="17" spans="1:29" ht="12.75" x14ac:dyDescent="0.2">
      <c r="A17" s="174" t="s">
        <v>26</v>
      </c>
      <c r="B17" s="101" t="s">
        <v>20</v>
      </c>
      <c r="C17" s="180">
        <f t="shared" si="6"/>
        <v>0.43700000000000006</v>
      </c>
      <c r="D17" s="180">
        <f t="shared" si="0"/>
        <v>0.48799999999999999</v>
      </c>
      <c r="E17" s="180">
        <f>+(F17*'Option 4, Step 1'!N16-H17*'Option 3, Step 1'!AB16)/'Option 3, Step 1'!M16</f>
        <v>0.45246524420332657</v>
      </c>
      <c r="F17" s="180">
        <f t="shared" si="1"/>
        <v>0.40900000000000003</v>
      </c>
      <c r="G17" s="180">
        <f>+(F17*'Option 4, Step 1'!Q16-D17*'Option 2, Step 1'!P16)/'Option 2, Step 1'!AD16</f>
        <v>0.39901573342278224</v>
      </c>
      <c r="H17" s="181">
        <f t="shared" si="2"/>
        <v>0.46499999999999997</v>
      </c>
      <c r="J17" s="43" t="s">
        <v>26</v>
      </c>
      <c r="K17" s="43" t="s">
        <v>20</v>
      </c>
      <c r="L17" s="72">
        <f t="shared" si="7"/>
        <v>0.65799999999999992</v>
      </c>
      <c r="M17" s="72">
        <f t="shared" si="3"/>
        <v>0.65200000000000002</v>
      </c>
      <c r="N17" s="72">
        <f t="shared" si="4"/>
        <v>0.54800000000000004</v>
      </c>
      <c r="O17" s="72">
        <f t="shared" si="5"/>
        <v>0.64800000000000002</v>
      </c>
      <c r="Q17" s="43" t="s">
        <v>26</v>
      </c>
      <c r="R17" s="43" t="s">
        <v>20</v>
      </c>
      <c r="S17" s="72">
        <f t="shared" si="16"/>
        <v>0.56299999999999994</v>
      </c>
      <c r="T17" s="72">
        <f t="shared" si="16"/>
        <v>0.51200000000000001</v>
      </c>
      <c r="U17" s="72">
        <f t="shared" si="16"/>
        <v>0.53500000000000003</v>
      </c>
      <c r="V17" s="72">
        <f t="shared" si="16"/>
        <v>0.59099999999999997</v>
      </c>
      <c r="X17" s="43" t="s">
        <v>26</v>
      </c>
      <c r="Y17" s="43" t="s">
        <v>20</v>
      </c>
      <c r="Z17" s="72">
        <f t="shared" si="17"/>
        <v>0.34200000000000003</v>
      </c>
      <c r="AA17" s="72">
        <f t="shared" si="17"/>
        <v>0.34799999999999998</v>
      </c>
      <c r="AB17" s="72">
        <f t="shared" si="17"/>
        <v>0.45200000000000001</v>
      </c>
      <c r="AC17" s="72">
        <f t="shared" si="17"/>
        <v>0.35199999999999998</v>
      </c>
    </row>
    <row r="18" spans="1:29" ht="12.75" x14ac:dyDescent="0.2">
      <c r="A18" s="174" t="s">
        <v>12</v>
      </c>
      <c r="B18" s="101" t="s">
        <v>20</v>
      </c>
      <c r="C18" s="180">
        <f t="shared" si="6"/>
        <v>0.43700000000000006</v>
      </c>
      <c r="D18" s="180">
        <f t="shared" si="0"/>
        <v>0.48799999999999999</v>
      </c>
      <c r="E18" s="180">
        <f>+(F18*'Option 4, Step 1'!N17-H18*'Option 3, Step 1'!AB17)/'Option 3, Step 1'!M17</f>
        <v>0.50607047976046771</v>
      </c>
      <c r="F18" s="180">
        <f t="shared" si="1"/>
        <v>0.40900000000000003</v>
      </c>
      <c r="G18" s="180">
        <f>+(F18*'Option 4, Step 1'!Q17-D18*'Option 2, Step 1'!P17)/'Option 2, Step 1'!AD17</f>
        <v>0.40315048061279413</v>
      </c>
      <c r="H18" s="181">
        <f t="shared" si="2"/>
        <v>0.46499999999999997</v>
      </c>
      <c r="J18" s="43" t="s">
        <v>12</v>
      </c>
      <c r="K18" s="43" t="s">
        <v>20</v>
      </c>
      <c r="L18" s="72">
        <f t="shared" si="7"/>
        <v>0.65799999999999992</v>
      </c>
      <c r="M18" s="72">
        <f t="shared" si="3"/>
        <v>0.65200000000000002</v>
      </c>
      <c r="N18" s="72">
        <f t="shared" si="4"/>
        <v>0.54800000000000004</v>
      </c>
      <c r="O18" s="72">
        <f t="shared" si="5"/>
        <v>0.64800000000000002</v>
      </c>
      <c r="Q18" s="43" t="s">
        <v>12</v>
      </c>
      <c r="R18" s="43" t="s">
        <v>20</v>
      </c>
      <c r="S18" s="72">
        <f t="shared" si="16"/>
        <v>0.56299999999999994</v>
      </c>
      <c r="T18" s="72">
        <f t="shared" si="16"/>
        <v>0.51200000000000001</v>
      </c>
      <c r="U18" s="72">
        <f t="shared" si="16"/>
        <v>0.53500000000000003</v>
      </c>
      <c r="V18" s="72">
        <f t="shared" si="16"/>
        <v>0.59099999999999997</v>
      </c>
      <c r="X18" s="43" t="s">
        <v>12</v>
      </c>
      <c r="Y18" s="43" t="s">
        <v>20</v>
      </c>
      <c r="Z18" s="72">
        <f t="shared" si="17"/>
        <v>0.34200000000000003</v>
      </c>
      <c r="AA18" s="72">
        <f t="shared" si="17"/>
        <v>0.34799999999999998</v>
      </c>
      <c r="AB18" s="72">
        <f t="shared" si="17"/>
        <v>0.45200000000000001</v>
      </c>
      <c r="AC18" s="72">
        <f t="shared" si="17"/>
        <v>0.35199999999999998</v>
      </c>
    </row>
    <row r="19" spans="1:29" ht="12.75" x14ac:dyDescent="0.2">
      <c r="A19" s="174" t="s">
        <v>13</v>
      </c>
      <c r="B19" s="101" t="s">
        <v>19</v>
      </c>
      <c r="C19" s="180">
        <f t="shared" si="6"/>
        <v>0.47499999999999998</v>
      </c>
      <c r="D19" s="180">
        <f t="shared" si="0"/>
        <v>0.40800000000000003</v>
      </c>
      <c r="E19" s="180">
        <f>+(F19*'Option 4, Step 1'!N18-H19*'Option 3, Step 1'!AB18)/'Option 3, Step 1'!M18</f>
        <v>0.48845020866686673</v>
      </c>
      <c r="F19" s="180">
        <f t="shared" si="1"/>
        <v>0.373</v>
      </c>
      <c r="G19" s="180">
        <f>+(F19*'Option 4, Step 1'!Q18-D19*'Option 2, Step 1'!P18)/'Option 2, Step 1'!AD18</f>
        <v>0.36903787009039773</v>
      </c>
      <c r="H19" s="181">
        <f t="shared" si="2"/>
        <v>0.28600000000000003</v>
      </c>
      <c r="J19" s="43" t="s">
        <v>13</v>
      </c>
      <c r="K19" s="43" t="s">
        <v>19</v>
      </c>
      <c r="L19" s="72">
        <f t="shared" si="7"/>
        <v>0.68199999999999994</v>
      </c>
      <c r="M19" s="72">
        <f t="shared" si="3"/>
        <v>0.67100000000000004</v>
      </c>
      <c r="N19" s="72">
        <f t="shared" si="4"/>
        <v>0.54499999999999993</v>
      </c>
      <c r="O19" s="72">
        <f t="shared" si="5"/>
        <v>0.59599999999999997</v>
      </c>
      <c r="Q19" s="43" t="s">
        <v>13</v>
      </c>
      <c r="R19" s="43" t="s">
        <v>19</v>
      </c>
      <c r="S19" s="72">
        <f t="shared" si="16"/>
        <v>0.52500000000000002</v>
      </c>
      <c r="T19" s="72">
        <f t="shared" si="16"/>
        <v>0.59199999999999997</v>
      </c>
      <c r="U19" s="72">
        <f t="shared" si="16"/>
        <v>0.71399999999999997</v>
      </c>
      <c r="V19" s="72">
        <f t="shared" si="16"/>
        <v>0.627</v>
      </c>
      <c r="X19" s="43" t="s">
        <v>13</v>
      </c>
      <c r="Y19" s="43" t="s">
        <v>19</v>
      </c>
      <c r="Z19" s="72">
        <f t="shared" si="17"/>
        <v>0.318</v>
      </c>
      <c r="AA19" s="72">
        <f t="shared" si="17"/>
        <v>0.32900000000000001</v>
      </c>
      <c r="AB19" s="72">
        <f t="shared" si="17"/>
        <v>0.45500000000000002</v>
      </c>
      <c r="AC19" s="72">
        <f t="shared" si="17"/>
        <v>0.40400000000000003</v>
      </c>
    </row>
    <row r="20" spans="1:29" ht="12.75" x14ac:dyDescent="0.2">
      <c r="A20" s="174" t="s">
        <v>14</v>
      </c>
      <c r="B20" s="101"/>
      <c r="C20" s="175">
        <f t="shared" si="6"/>
        <v>0.72499999999999998</v>
      </c>
      <c r="D20" s="178">
        <f t="shared" si="0"/>
        <v>0.71399999999999997</v>
      </c>
      <c r="E20" s="178">
        <f>+(F20*'Option 4, Step 1'!N19-H20*'Option 3, Step 1'!AB19)/'Option 3, Step 1'!M19</f>
        <v>0.82438746600669199</v>
      </c>
      <c r="F20" s="178">
        <f t="shared" si="1"/>
        <v>0.71</v>
      </c>
      <c r="G20" s="178">
        <f>+(F20*'Option 4, Step 1'!Q19-D20*'Option 2, Step 1'!P19)/'Option 2, Step 1'!AD19</f>
        <v>0.70973432565022132</v>
      </c>
      <c r="H20" s="179">
        <f t="shared" si="2"/>
        <v>0.7</v>
      </c>
      <c r="J20" s="43" t="s">
        <v>14</v>
      </c>
      <c r="L20" s="71">
        <f t="shared" si="7"/>
        <v>0.56099999999999994</v>
      </c>
      <c r="M20" s="69">
        <f t="shared" si="3"/>
        <v>0.45099999999999996</v>
      </c>
      <c r="N20" s="69">
        <f t="shared" si="4"/>
        <v>0.45499999999999996</v>
      </c>
      <c r="O20" s="69">
        <f t="shared" si="5"/>
        <v>0.56699999999999995</v>
      </c>
      <c r="Q20" s="43" t="s">
        <v>14</v>
      </c>
      <c r="S20" s="71">
        <v>0.27500000000000002</v>
      </c>
      <c r="T20" s="69">
        <v>0.28599999999999998</v>
      </c>
      <c r="U20" s="69">
        <v>0.3</v>
      </c>
      <c r="V20" s="69">
        <v>0.28999999999999998</v>
      </c>
      <c r="X20" s="43" t="s">
        <v>14</v>
      </c>
      <c r="Z20" s="69">
        <v>0.439</v>
      </c>
      <c r="AA20" s="69">
        <v>0.54900000000000004</v>
      </c>
      <c r="AB20" s="69">
        <v>0.54500000000000004</v>
      </c>
      <c r="AC20" s="69">
        <v>0.433</v>
      </c>
    </row>
    <row r="21" spans="1:29" ht="12.75" x14ac:dyDescent="0.2">
      <c r="A21" s="174" t="s">
        <v>15</v>
      </c>
      <c r="B21" s="101" t="s">
        <v>20</v>
      </c>
      <c r="C21" s="180">
        <f t="shared" si="6"/>
        <v>0.43700000000000006</v>
      </c>
      <c r="D21" s="180">
        <f t="shared" si="0"/>
        <v>0.48799999999999999</v>
      </c>
      <c r="E21" s="180">
        <f>+(F21*'Option 4, Step 1'!N20-H21*'Option 3, Step 1'!AB20)/'Option 3, Step 1'!M20</f>
        <v>0.5644323912313739</v>
      </c>
      <c r="F21" s="180">
        <f t="shared" si="1"/>
        <v>0.40900000000000003</v>
      </c>
      <c r="G21" s="180">
        <f>+(F21*'Option 4, Step 1'!Q20-D21*'Option 2, Step 1'!P20)/'Option 2, Step 1'!AD20</f>
        <v>0.4017385024933377</v>
      </c>
      <c r="H21" s="181">
        <f t="shared" si="2"/>
        <v>0.46499999999999997</v>
      </c>
      <c r="J21" s="43" t="s">
        <v>15</v>
      </c>
      <c r="K21" s="43" t="s">
        <v>20</v>
      </c>
      <c r="L21" s="72">
        <f t="shared" si="7"/>
        <v>0.65799999999999992</v>
      </c>
      <c r="M21" s="72">
        <f t="shared" si="3"/>
        <v>0.65200000000000002</v>
      </c>
      <c r="N21" s="72">
        <f t="shared" si="4"/>
        <v>0.54800000000000004</v>
      </c>
      <c r="O21" s="72">
        <f t="shared" si="5"/>
        <v>0.64800000000000002</v>
      </c>
      <c r="Q21" s="43" t="s">
        <v>15</v>
      </c>
      <c r="R21" s="43" t="s">
        <v>20</v>
      </c>
      <c r="S21" s="72">
        <f t="shared" ref="S21:V24" si="18">+VLOOKUP($R21,$Q$5:$V$31,S$2,0)</f>
        <v>0.56299999999999994</v>
      </c>
      <c r="T21" s="72">
        <f t="shared" si="18"/>
        <v>0.51200000000000001</v>
      </c>
      <c r="U21" s="72">
        <f t="shared" si="18"/>
        <v>0.53500000000000003</v>
      </c>
      <c r="V21" s="72">
        <f t="shared" si="18"/>
        <v>0.59099999999999997</v>
      </c>
      <c r="X21" s="43" t="s">
        <v>15</v>
      </c>
      <c r="Y21" s="43" t="s">
        <v>20</v>
      </c>
      <c r="Z21" s="72">
        <f t="shared" ref="Z21:AC24" si="19">+VLOOKUP($Y21,$X$5:$AC$31,Z$2,0)</f>
        <v>0.34200000000000003</v>
      </c>
      <c r="AA21" s="72">
        <f t="shared" si="19"/>
        <v>0.34799999999999998</v>
      </c>
      <c r="AB21" s="72">
        <f t="shared" si="19"/>
        <v>0.45200000000000001</v>
      </c>
      <c r="AC21" s="72">
        <f t="shared" si="19"/>
        <v>0.35199999999999998</v>
      </c>
    </row>
    <row r="22" spans="1:29" ht="12.75" x14ac:dyDescent="0.2">
      <c r="A22" s="174" t="s">
        <v>16</v>
      </c>
      <c r="B22" s="101" t="s">
        <v>5</v>
      </c>
      <c r="C22" s="180">
        <f t="shared" si="6"/>
        <v>0.21199999999999997</v>
      </c>
      <c r="D22" s="180">
        <f t="shared" si="0"/>
        <v>0.28800000000000003</v>
      </c>
      <c r="E22" s="180">
        <f>+(F22*'Option 4, Step 1'!N21-H22*'Option 3, Step 1'!AB21)/'Option 3, Step 1'!M21</f>
        <v>0.35537111878901773</v>
      </c>
      <c r="F22" s="180">
        <f t="shared" si="1"/>
        <v>0.246</v>
      </c>
      <c r="G22" s="180">
        <f>+(F22*'Option 4, Step 1'!Q21-D22*'Option 2, Step 1'!P21)/'Option 2, Step 1'!AD21</f>
        <v>0.2377569890569691</v>
      </c>
      <c r="H22" s="181">
        <f t="shared" si="2"/>
        <v>0.21899999999999997</v>
      </c>
      <c r="J22" s="43" t="s">
        <v>16</v>
      </c>
      <c r="K22" s="43" t="s">
        <v>5</v>
      </c>
      <c r="L22" s="72">
        <f t="shared" si="7"/>
        <v>0.54699999999999993</v>
      </c>
      <c r="M22" s="72">
        <f t="shared" si="3"/>
        <v>0.45699999999999996</v>
      </c>
      <c r="N22" s="72">
        <f t="shared" si="4"/>
        <v>0.45699999999999996</v>
      </c>
      <c r="O22" s="72">
        <f t="shared" si="5"/>
        <v>0.497</v>
      </c>
      <c r="Q22" s="43" t="s">
        <v>16</v>
      </c>
      <c r="R22" s="43" t="s">
        <v>5</v>
      </c>
      <c r="S22" s="72">
        <f t="shared" si="18"/>
        <v>0.78800000000000003</v>
      </c>
      <c r="T22" s="72">
        <f t="shared" si="18"/>
        <v>0.71199999999999997</v>
      </c>
      <c r="U22" s="72">
        <f t="shared" si="18"/>
        <v>0.78100000000000003</v>
      </c>
      <c r="V22" s="72">
        <f t="shared" si="18"/>
        <v>0.754</v>
      </c>
      <c r="X22" s="43" t="s">
        <v>16</v>
      </c>
      <c r="Y22" s="43" t="s">
        <v>5</v>
      </c>
      <c r="Z22" s="72">
        <f t="shared" si="19"/>
        <v>0.45300000000000001</v>
      </c>
      <c r="AA22" s="72">
        <f t="shared" si="19"/>
        <v>0.54300000000000004</v>
      </c>
      <c r="AB22" s="72">
        <f t="shared" si="19"/>
        <v>0.54300000000000004</v>
      </c>
      <c r="AC22" s="72">
        <f t="shared" si="19"/>
        <v>0.503</v>
      </c>
    </row>
    <row r="23" spans="1:29" ht="12.75" x14ac:dyDescent="0.2">
      <c r="A23" s="174" t="s">
        <v>17</v>
      </c>
      <c r="B23" s="101" t="s">
        <v>20</v>
      </c>
      <c r="C23" s="180">
        <f t="shared" si="6"/>
        <v>0.43700000000000006</v>
      </c>
      <c r="D23" s="180">
        <f t="shared" si="0"/>
        <v>0.48799999999999999</v>
      </c>
      <c r="E23" s="180">
        <f>+(F23*'Option 4, Step 1'!N22-H23*'Option 3, Step 1'!AB22)/'Option 3, Step 1'!M22</f>
        <v>0.50969803241851208</v>
      </c>
      <c r="F23" s="180">
        <f t="shared" si="1"/>
        <v>0.40900000000000003</v>
      </c>
      <c r="G23" s="180">
        <f>+(F23*'Option 4, Step 1'!Q22-D23*'Option 2, Step 1'!P22)/'Option 2, Step 1'!AD22</f>
        <v>0.39931729680025702</v>
      </c>
      <c r="H23" s="181">
        <f t="shared" si="2"/>
        <v>0.46499999999999997</v>
      </c>
      <c r="J23" s="43" t="s">
        <v>17</v>
      </c>
      <c r="K23" s="43" t="s">
        <v>20</v>
      </c>
      <c r="L23" s="72">
        <f t="shared" si="7"/>
        <v>0.65799999999999992</v>
      </c>
      <c r="M23" s="72">
        <f t="shared" si="3"/>
        <v>0.65200000000000002</v>
      </c>
      <c r="N23" s="72">
        <f t="shared" si="4"/>
        <v>0.54800000000000004</v>
      </c>
      <c r="O23" s="72">
        <f t="shared" si="5"/>
        <v>0.64800000000000002</v>
      </c>
      <c r="Q23" s="43" t="s">
        <v>17</v>
      </c>
      <c r="R23" s="43" t="s">
        <v>20</v>
      </c>
      <c r="S23" s="72">
        <f t="shared" si="18"/>
        <v>0.56299999999999994</v>
      </c>
      <c r="T23" s="72">
        <f t="shared" si="18"/>
        <v>0.51200000000000001</v>
      </c>
      <c r="U23" s="72">
        <f t="shared" si="18"/>
        <v>0.53500000000000003</v>
      </c>
      <c r="V23" s="72">
        <f t="shared" si="18"/>
        <v>0.59099999999999997</v>
      </c>
      <c r="X23" s="43" t="s">
        <v>17</v>
      </c>
      <c r="Y23" s="43" t="s">
        <v>20</v>
      </c>
      <c r="Z23" s="72">
        <f t="shared" si="19"/>
        <v>0.34200000000000003</v>
      </c>
      <c r="AA23" s="72">
        <f t="shared" si="19"/>
        <v>0.34799999999999998</v>
      </c>
      <c r="AB23" s="72">
        <f t="shared" si="19"/>
        <v>0.45200000000000001</v>
      </c>
      <c r="AC23" s="72">
        <f t="shared" si="19"/>
        <v>0.35199999999999998</v>
      </c>
    </row>
    <row r="24" spans="1:29" ht="12.75" x14ac:dyDescent="0.2">
      <c r="A24" s="174" t="s">
        <v>18</v>
      </c>
      <c r="B24" s="101" t="s">
        <v>5</v>
      </c>
      <c r="C24" s="180">
        <f t="shared" si="6"/>
        <v>0.21199999999999997</v>
      </c>
      <c r="D24" s="180">
        <f t="shared" si="0"/>
        <v>0.28800000000000003</v>
      </c>
      <c r="E24" s="180">
        <f>+(F24*'Option 4, Step 1'!N23-H24*'Option 3, Step 1'!AB23)/'Option 3, Step 1'!M23</f>
        <v>0.34367162812909918</v>
      </c>
      <c r="F24" s="180">
        <f t="shared" si="1"/>
        <v>0.246</v>
      </c>
      <c r="G24" s="180">
        <f>+(F24*'Option 4, Step 1'!Q23-D24*'Option 2, Step 1'!P23)/'Option 2, Step 1'!AD23</f>
        <v>0.24156978627597006</v>
      </c>
      <c r="H24" s="181">
        <f t="shared" si="2"/>
        <v>0.21899999999999997</v>
      </c>
      <c r="J24" s="43" t="s">
        <v>18</v>
      </c>
      <c r="K24" s="43" t="s">
        <v>5</v>
      </c>
      <c r="L24" s="72">
        <f t="shared" si="7"/>
        <v>0.54699999999999993</v>
      </c>
      <c r="M24" s="72">
        <f t="shared" si="3"/>
        <v>0.45699999999999996</v>
      </c>
      <c r="N24" s="72">
        <f t="shared" si="4"/>
        <v>0.45699999999999996</v>
      </c>
      <c r="O24" s="72">
        <f t="shared" si="5"/>
        <v>0.497</v>
      </c>
      <c r="Q24" s="43" t="s">
        <v>18</v>
      </c>
      <c r="R24" s="43" t="s">
        <v>5</v>
      </c>
      <c r="S24" s="72">
        <f t="shared" si="18"/>
        <v>0.78800000000000003</v>
      </c>
      <c r="T24" s="72">
        <f t="shared" si="18"/>
        <v>0.71199999999999997</v>
      </c>
      <c r="U24" s="72">
        <f t="shared" si="18"/>
        <v>0.78100000000000003</v>
      </c>
      <c r="V24" s="72">
        <f t="shared" si="18"/>
        <v>0.754</v>
      </c>
      <c r="X24" s="43" t="s">
        <v>18</v>
      </c>
      <c r="Y24" s="43" t="s">
        <v>5</v>
      </c>
      <c r="Z24" s="72">
        <f t="shared" si="19"/>
        <v>0.45300000000000001</v>
      </c>
      <c r="AA24" s="72">
        <f t="shared" si="19"/>
        <v>0.54300000000000004</v>
      </c>
      <c r="AB24" s="72">
        <f t="shared" si="19"/>
        <v>0.54300000000000004</v>
      </c>
      <c r="AC24" s="72">
        <f t="shared" si="19"/>
        <v>0.503</v>
      </c>
    </row>
    <row r="25" spans="1:29" ht="12.75" x14ac:dyDescent="0.2">
      <c r="A25" s="174" t="s">
        <v>19</v>
      </c>
      <c r="B25" s="101"/>
      <c r="C25" s="175">
        <f t="shared" si="6"/>
        <v>0.47499999999999998</v>
      </c>
      <c r="D25" s="178">
        <f t="shared" si="0"/>
        <v>0.40800000000000003</v>
      </c>
      <c r="E25" s="178">
        <f>+(F25*'Option 4, Step 1'!N24-H25*'Option 3, Step 1'!AB24)/'Option 3, Step 1'!M24</f>
        <v>0.49350287080257899</v>
      </c>
      <c r="F25" s="178">
        <f t="shared" si="1"/>
        <v>0.373</v>
      </c>
      <c r="G25" s="178">
        <f>+(F25*'Option 4, Step 1'!Q24-D25*'Option 2, Step 1'!P24)/'Option 2, Step 1'!AD24</f>
        <v>0.37024657127386384</v>
      </c>
      <c r="H25" s="179">
        <f t="shared" si="2"/>
        <v>0.28600000000000003</v>
      </c>
      <c r="J25" s="43" t="s">
        <v>19</v>
      </c>
      <c r="L25" s="71">
        <f t="shared" si="7"/>
        <v>0.68199999999999994</v>
      </c>
      <c r="M25" s="69">
        <f t="shared" si="3"/>
        <v>0.67100000000000004</v>
      </c>
      <c r="N25" s="69">
        <f t="shared" si="4"/>
        <v>0.54499999999999993</v>
      </c>
      <c r="O25" s="69">
        <f t="shared" si="5"/>
        <v>0.59599999999999997</v>
      </c>
      <c r="Q25" s="43" t="s">
        <v>19</v>
      </c>
      <c r="S25" s="71">
        <v>0.52500000000000002</v>
      </c>
      <c r="T25" s="69">
        <v>0.59199999999999997</v>
      </c>
      <c r="U25" s="69">
        <v>0.71399999999999997</v>
      </c>
      <c r="V25" s="69">
        <v>0.627</v>
      </c>
      <c r="X25" s="43" t="s">
        <v>19</v>
      </c>
      <c r="Z25" s="69">
        <v>0.318</v>
      </c>
      <c r="AA25" s="69">
        <v>0.32900000000000001</v>
      </c>
      <c r="AB25" s="69">
        <v>0.45500000000000002</v>
      </c>
      <c r="AC25" s="69">
        <v>0.40400000000000003</v>
      </c>
    </row>
    <row r="26" spans="1:29" ht="12.75" x14ac:dyDescent="0.2">
      <c r="A26" s="174" t="s">
        <v>20</v>
      </c>
      <c r="B26" s="101"/>
      <c r="C26" s="175">
        <f t="shared" si="6"/>
        <v>0.43700000000000006</v>
      </c>
      <c r="D26" s="178">
        <f t="shared" si="0"/>
        <v>0.48799999999999999</v>
      </c>
      <c r="E26" s="178">
        <f>+(F26*'Option 4, Step 1'!N25-H26*'Option 3, Step 1'!AB25)/'Option 3, Step 1'!M25</f>
        <v>0.48092842868529606</v>
      </c>
      <c r="F26" s="178">
        <f t="shared" si="1"/>
        <v>0.40900000000000003</v>
      </c>
      <c r="G26" s="178">
        <f>+(F26*'Option 4, Step 1'!Q25-D26*'Option 2, Step 1'!P25)/'Option 2, Step 1'!AD25</f>
        <v>0.4033367936038989</v>
      </c>
      <c r="H26" s="179">
        <f t="shared" si="2"/>
        <v>0.46499999999999997</v>
      </c>
      <c r="J26" s="43" t="s">
        <v>20</v>
      </c>
      <c r="L26" s="71">
        <f t="shared" si="7"/>
        <v>0.65799999999999992</v>
      </c>
      <c r="M26" s="69">
        <f t="shared" si="3"/>
        <v>0.65200000000000002</v>
      </c>
      <c r="N26" s="69">
        <f t="shared" si="4"/>
        <v>0.54800000000000004</v>
      </c>
      <c r="O26" s="69">
        <f t="shared" si="5"/>
        <v>0.64800000000000002</v>
      </c>
      <c r="Q26" s="43" t="s">
        <v>20</v>
      </c>
      <c r="S26" s="71">
        <v>0.56299999999999994</v>
      </c>
      <c r="T26" s="69">
        <v>0.51200000000000001</v>
      </c>
      <c r="U26" s="69">
        <v>0.53500000000000003</v>
      </c>
      <c r="V26" s="69">
        <v>0.59099999999999997</v>
      </c>
      <c r="X26" s="43" t="s">
        <v>20</v>
      </c>
      <c r="Z26" s="69">
        <v>0.34200000000000003</v>
      </c>
      <c r="AA26" s="69">
        <v>0.34799999999999998</v>
      </c>
      <c r="AB26" s="69">
        <v>0.45200000000000001</v>
      </c>
      <c r="AC26" s="69">
        <v>0.35199999999999998</v>
      </c>
    </row>
    <row r="27" spans="1:29" ht="12.75" x14ac:dyDescent="0.2">
      <c r="A27" s="174" t="s">
        <v>21</v>
      </c>
      <c r="B27" s="101" t="s">
        <v>8</v>
      </c>
      <c r="C27" s="180">
        <f t="shared" si="6"/>
        <v>0.70500000000000007</v>
      </c>
      <c r="D27" s="180">
        <f t="shared" si="0"/>
        <v>0.78600000000000003</v>
      </c>
      <c r="E27" s="180">
        <f>+(F27*'Option 4, Step 1'!N26-H27*'Option 3, Step 1'!AB26)/'Option 3, Step 1'!M26</f>
        <v>0.92517712814432418</v>
      </c>
      <c r="F27" s="180">
        <f t="shared" si="1"/>
        <v>0.71199999999999997</v>
      </c>
      <c r="G27" s="180">
        <f>+(F27*'Option 4, Step 1'!Q26-D27*'Option 2, Step 1'!P26)/'Option 2, Step 1'!AD26</f>
        <v>0.70736759561889073</v>
      </c>
      <c r="H27" s="181">
        <f t="shared" si="2"/>
        <v>0.63400000000000001</v>
      </c>
      <c r="J27" s="43" t="s">
        <v>21</v>
      </c>
      <c r="K27" s="43" t="s">
        <v>8</v>
      </c>
      <c r="L27" s="72">
        <f t="shared" si="7"/>
        <v>0.621</v>
      </c>
      <c r="M27" s="72">
        <f t="shared" si="3"/>
        <v>0.56800000000000006</v>
      </c>
      <c r="N27" s="72">
        <f t="shared" si="4"/>
        <v>0.60599999999999998</v>
      </c>
      <c r="O27" s="72">
        <f t="shared" si="5"/>
        <v>0.627</v>
      </c>
      <c r="Q27" s="43" t="s">
        <v>21</v>
      </c>
      <c r="R27" s="43" t="s">
        <v>8</v>
      </c>
      <c r="S27" s="72">
        <f t="shared" ref="S27:V28" si="20">+VLOOKUP($R27,$Q$5:$V$31,S$2,0)</f>
        <v>0.29499999999999998</v>
      </c>
      <c r="T27" s="72">
        <f t="shared" si="20"/>
        <v>0.214</v>
      </c>
      <c r="U27" s="72">
        <f t="shared" si="20"/>
        <v>0.36599999999999999</v>
      </c>
      <c r="V27" s="72">
        <f t="shared" si="20"/>
        <v>0.28799999999999998</v>
      </c>
      <c r="X27" s="43" t="s">
        <v>21</v>
      </c>
      <c r="Y27" s="43" t="s">
        <v>8</v>
      </c>
      <c r="Z27" s="72">
        <f t="shared" ref="Z27:AC28" si="21">+VLOOKUP($Y27,$X$5:$AC$31,Z$2,0)</f>
        <v>0.379</v>
      </c>
      <c r="AA27" s="72">
        <f t="shared" si="21"/>
        <v>0.432</v>
      </c>
      <c r="AB27" s="72">
        <f t="shared" si="21"/>
        <v>0.39400000000000002</v>
      </c>
      <c r="AC27" s="72">
        <f t="shared" si="21"/>
        <v>0.373</v>
      </c>
    </row>
    <row r="28" spans="1:29" ht="12.75" x14ac:dyDescent="0.2">
      <c r="A28" s="174" t="s">
        <v>22</v>
      </c>
      <c r="B28" s="101" t="s">
        <v>20</v>
      </c>
      <c r="C28" s="180">
        <f t="shared" si="6"/>
        <v>0.43700000000000006</v>
      </c>
      <c r="D28" s="180">
        <f t="shared" si="0"/>
        <v>0.48799999999999999</v>
      </c>
      <c r="E28" s="180">
        <f>+(F28*'Option 4, Step 1'!N27-H28*'Option 3, Step 1'!AB27)/'Option 3, Step 1'!M27</f>
        <v>0.47922220445184138</v>
      </c>
      <c r="F28" s="180">
        <f t="shared" si="1"/>
        <v>0.40900000000000003</v>
      </c>
      <c r="G28" s="180">
        <f>+(F28*'Option 4, Step 1'!Q27-D28*'Option 2, Step 1'!P27)/'Option 2, Step 1'!AD27</f>
        <v>0.40407926468941546</v>
      </c>
      <c r="H28" s="181">
        <f t="shared" si="2"/>
        <v>0.46499999999999997</v>
      </c>
      <c r="J28" s="43" t="s">
        <v>22</v>
      </c>
      <c r="K28" s="43" t="s">
        <v>20</v>
      </c>
      <c r="L28" s="72">
        <f t="shared" si="7"/>
        <v>0.65799999999999992</v>
      </c>
      <c r="M28" s="72">
        <f t="shared" si="3"/>
        <v>0.65200000000000002</v>
      </c>
      <c r="N28" s="72">
        <f t="shared" si="4"/>
        <v>0.54800000000000004</v>
      </c>
      <c r="O28" s="72">
        <f t="shared" si="5"/>
        <v>0.64800000000000002</v>
      </c>
      <c r="Q28" s="43" t="s">
        <v>22</v>
      </c>
      <c r="R28" s="43" t="s">
        <v>20</v>
      </c>
      <c r="S28" s="72">
        <f t="shared" si="20"/>
        <v>0.56299999999999994</v>
      </c>
      <c r="T28" s="72">
        <f t="shared" si="20"/>
        <v>0.51200000000000001</v>
      </c>
      <c r="U28" s="72">
        <f t="shared" si="20"/>
        <v>0.53500000000000003</v>
      </c>
      <c r="V28" s="72">
        <f t="shared" si="20"/>
        <v>0.59099999999999997</v>
      </c>
      <c r="X28" s="43" t="s">
        <v>22</v>
      </c>
      <c r="Y28" s="43" t="s">
        <v>20</v>
      </c>
      <c r="Z28" s="72">
        <f t="shared" si="21"/>
        <v>0.34200000000000003</v>
      </c>
      <c r="AA28" s="72">
        <f t="shared" si="21"/>
        <v>0.34799999999999998</v>
      </c>
      <c r="AB28" s="72">
        <f t="shared" si="21"/>
        <v>0.45200000000000001</v>
      </c>
      <c r="AC28" s="72">
        <f t="shared" si="21"/>
        <v>0.35199999999999998</v>
      </c>
    </row>
    <row r="29" spans="1:29" ht="12.75" x14ac:dyDescent="0.2">
      <c r="A29" s="174" t="s">
        <v>23</v>
      </c>
      <c r="B29" s="101"/>
      <c r="C29" s="175">
        <f t="shared" si="6"/>
        <v>0.47799999999999998</v>
      </c>
      <c r="D29" s="178">
        <f t="shared" si="0"/>
        <v>0.5</v>
      </c>
      <c r="E29" s="178">
        <f>+(F29*'Option 4, Step 1'!N28-H29*'Option 3, Step 1'!AB28)/'Option 3, Step 1'!M28</f>
        <v>0.52740189052425934</v>
      </c>
      <c r="F29" s="178">
        <f t="shared" si="1"/>
        <v>0.43300000000000005</v>
      </c>
      <c r="G29" s="178">
        <f>+(F29*'Option 4, Step 1'!Q28-D29*'Option 2, Step 1'!P28)/'Option 2, Step 1'!AD28</f>
        <v>0.42718958988540695</v>
      </c>
      <c r="H29" s="179">
        <f t="shared" si="2"/>
        <v>0.25</v>
      </c>
      <c r="J29" s="43" t="s">
        <v>23</v>
      </c>
      <c r="L29" s="71">
        <f t="shared" si="7"/>
        <v>0.66999999999999993</v>
      </c>
      <c r="M29" s="69">
        <f t="shared" si="3"/>
        <v>0.45599999999999996</v>
      </c>
      <c r="N29" s="69">
        <f t="shared" si="4"/>
        <v>0.52700000000000002</v>
      </c>
      <c r="O29" s="69">
        <f t="shared" si="5"/>
        <v>0.55000000000000004</v>
      </c>
      <c r="Q29" s="43" t="s">
        <v>23</v>
      </c>
      <c r="S29" s="71">
        <v>0.52200000000000002</v>
      </c>
      <c r="T29" s="69">
        <v>0.5</v>
      </c>
      <c r="U29" s="69">
        <v>0.75</v>
      </c>
      <c r="V29" s="69">
        <v>0.56699999999999995</v>
      </c>
      <c r="X29" s="43" t="s">
        <v>23</v>
      </c>
      <c r="Z29" s="69">
        <v>0.33</v>
      </c>
      <c r="AA29" s="69">
        <v>0.54400000000000004</v>
      </c>
      <c r="AB29" s="69">
        <v>0.47299999999999998</v>
      </c>
      <c r="AC29" s="69">
        <v>0.45</v>
      </c>
    </row>
    <row r="30" spans="1:29" ht="12.75" x14ac:dyDescent="0.2">
      <c r="A30" s="174" t="s">
        <v>24</v>
      </c>
      <c r="B30" s="101" t="s">
        <v>20</v>
      </c>
      <c r="C30" s="180">
        <f t="shared" si="6"/>
        <v>0.43700000000000006</v>
      </c>
      <c r="D30" s="180">
        <f t="shared" si="0"/>
        <v>0.48799999999999999</v>
      </c>
      <c r="E30" s="180">
        <f>+(F30*'Option 4, Step 1'!N29-H30*'Option 3, Step 1'!AB29)/'Option 3, Step 1'!M29</f>
        <v>0.46827819044088886</v>
      </c>
      <c r="F30" s="180">
        <f t="shared" si="1"/>
        <v>0.40900000000000003</v>
      </c>
      <c r="G30" s="180">
        <f>+(F30*'Option 4, Step 1'!Q29-D30*'Option 2, Step 1'!P29)/'Option 2, Step 1'!AD29</f>
        <v>0.4031184118635166</v>
      </c>
      <c r="H30" s="181">
        <f t="shared" si="2"/>
        <v>0.46499999999999997</v>
      </c>
      <c r="J30" s="43" t="s">
        <v>24</v>
      </c>
      <c r="K30" s="43" t="s">
        <v>20</v>
      </c>
      <c r="L30" s="72">
        <f t="shared" si="7"/>
        <v>0.65799999999999992</v>
      </c>
      <c r="M30" s="72">
        <f t="shared" si="3"/>
        <v>0.65200000000000002</v>
      </c>
      <c r="N30" s="72">
        <f t="shared" si="4"/>
        <v>0.54800000000000004</v>
      </c>
      <c r="O30" s="72">
        <f t="shared" si="5"/>
        <v>0.64800000000000002</v>
      </c>
      <c r="Q30" s="43" t="s">
        <v>24</v>
      </c>
      <c r="R30" s="43" t="s">
        <v>20</v>
      </c>
      <c r="S30" s="72">
        <f t="shared" ref="S30:V31" si="22">+VLOOKUP($R30,$Q$5:$V$31,S$2,0)</f>
        <v>0.56299999999999994</v>
      </c>
      <c r="T30" s="72">
        <f t="shared" si="22"/>
        <v>0.51200000000000001</v>
      </c>
      <c r="U30" s="72">
        <f t="shared" si="22"/>
        <v>0.53500000000000003</v>
      </c>
      <c r="V30" s="72">
        <f t="shared" si="22"/>
        <v>0.59099999999999997</v>
      </c>
      <c r="X30" s="43" t="s">
        <v>24</v>
      </c>
      <c r="Y30" s="43" t="s">
        <v>20</v>
      </c>
      <c r="Z30" s="72">
        <f t="shared" ref="Z30:AC31" si="23">+VLOOKUP($Y30,$X$5:$AC$31,Z$2,0)</f>
        <v>0.34200000000000003</v>
      </c>
      <c r="AA30" s="72">
        <f t="shared" si="23"/>
        <v>0.34799999999999998</v>
      </c>
      <c r="AB30" s="72">
        <f t="shared" si="23"/>
        <v>0.45200000000000001</v>
      </c>
      <c r="AC30" s="72">
        <f t="shared" si="23"/>
        <v>0.35199999999999998</v>
      </c>
    </row>
    <row r="31" spans="1:29" ht="13.5" thickBot="1" x14ac:dyDescent="0.25">
      <c r="A31" s="182" t="s">
        <v>25</v>
      </c>
      <c r="B31" s="183" t="s">
        <v>20</v>
      </c>
      <c r="C31" s="184">
        <f t="shared" si="6"/>
        <v>0.43700000000000006</v>
      </c>
      <c r="D31" s="184">
        <f t="shared" si="0"/>
        <v>0.48799999999999999</v>
      </c>
      <c r="E31" s="184">
        <f>+(F31*'Option 4, Step 1'!N30-H31*'Option 3, Step 1'!AB30)/'Option 3, Step 1'!M30</f>
        <v>0.45578845403629026</v>
      </c>
      <c r="F31" s="184">
        <f t="shared" si="1"/>
        <v>0.40900000000000003</v>
      </c>
      <c r="G31" s="184">
        <f>+(F31*'Option 4, Step 1'!Q30-D31*'Option 2, Step 1'!P30)/'Option 2, Step 1'!AD30</f>
        <v>0.4057270555893957</v>
      </c>
      <c r="H31" s="185">
        <f t="shared" si="2"/>
        <v>0.46499999999999997</v>
      </c>
      <c r="J31" s="43" t="s">
        <v>25</v>
      </c>
      <c r="K31" s="43" t="s">
        <v>20</v>
      </c>
      <c r="L31" s="72">
        <f t="shared" si="7"/>
        <v>0.65799999999999992</v>
      </c>
      <c r="M31" s="72">
        <f t="shared" si="3"/>
        <v>0.65200000000000002</v>
      </c>
      <c r="N31" s="72">
        <f t="shared" si="4"/>
        <v>0.54800000000000004</v>
      </c>
      <c r="O31" s="72">
        <f t="shared" si="5"/>
        <v>0.64800000000000002</v>
      </c>
      <c r="Q31" s="43" t="s">
        <v>25</v>
      </c>
      <c r="R31" s="43" t="s">
        <v>20</v>
      </c>
      <c r="S31" s="72">
        <f t="shared" si="22"/>
        <v>0.56299999999999994</v>
      </c>
      <c r="T31" s="72">
        <f t="shared" si="22"/>
        <v>0.51200000000000001</v>
      </c>
      <c r="U31" s="72">
        <f t="shared" si="22"/>
        <v>0.53500000000000003</v>
      </c>
      <c r="V31" s="72">
        <f t="shared" si="22"/>
        <v>0.59099999999999997</v>
      </c>
      <c r="X31" s="43" t="s">
        <v>25</v>
      </c>
      <c r="Y31" s="43" t="s">
        <v>20</v>
      </c>
      <c r="Z31" s="72">
        <f t="shared" si="23"/>
        <v>0.34200000000000003</v>
      </c>
      <c r="AA31" s="72">
        <f t="shared" si="23"/>
        <v>0.34799999999999998</v>
      </c>
      <c r="AB31" s="72">
        <f t="shared" si="23"/>
        <v>0.45200000000000001</v>
      </c>
      <c r="AC31" s="72">
        <f t="shared" si="23"/>
        <v>0.35199999999999998</v>
      </c>
    </row>
    <row r="33" spans="3:3" x14ac:dyDescent="0.25">
      <c r="C33" s="142" t="s">
        <v>378</v>
      </c>
    </row>
  </sheetData>
  <pageMargins left="0.7" right="0.7" top="0.75" bottom="0.75" header="0.3" footer="0.3"/>
  <pageSetup orientation="portrait" horizontalDpi="1200" verticalDpi="12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AL45"/>
  <sheetViews>
    <sheetView topLeftCell="O11" workbookViewId="0">
      <selection activeCell="AD34" sqref="AD34:AL41"/>
    </sheetView>
  </sheetViews>
  <sheetFormatPr defaultColWidth="9.140625" defaultRowHeight="12.75" x14ac:dyDescent="0.2"/>
  <cols>
    <col min="1" max="1" width="5.7109375" style="60" customWidth="1"/>
    <col min="2" max="5" width="11.5703125" style="60" customWidth="1"/>
    <col min="6" max="6" width="5.7109375" style="60" customWidth="1"/>
    <col min="7" max="10" width="11.140625" style="43" customWidth="1"/>
    <col min="11" max="11" width="5.7109375" style="60" customWidth="1"/>
    <col min="12" max="12" width="11.140625" style="43" bestFit="1" customWidth="1"/>
    <col min="13" max="19" width="10.140625" style="43" bestFit="1" customWidth="1"/>
    <col min="20" max="20" width="5.7109375" style="60" customWidth="1"/>
    <col min="21" max="28" width="10.140625" style="43" bestFit="1" customWidth="1"/>
    <col min="29" max="29" width="9.140625" style="43"/>
    <col min="30" max="30" width="40.7109375" style="43" customWidth="1"/>
    <col min="31" max="31" width="10.5703125" style="43" bestFit="1" customWidth="1"/>
    <col min="32" max="16384" width="9.140625" style="43"/>
  </cols>
  <sheetData>
    <row r="1" spans="1:28" ht="12.75" customHeight="1" x14ac:dyDescent="0.2">
      <c r="B1" s="60" t="s">
        <v>326</v>
      </c>
      <c r="K1" s="44"/>
      <c r="L1" s="200" t="s">
        <v>342</v>
      </c>
      <c r="M1" s="201"/>
      <c r="N1" s="201"/>
      <c r="O1" s="201"/>
      <c r="P1" s="201"/>
      <c r="Q1" s="201"/>
      <c r="R1" s="201"/>
      <c r="S1" s="201"/>
      <c r="T1" s="44"/>
      <c r="U1" s="200" t="s">
        <v>343</v>
      </c>
      <c r="V1" s="201"/>
      <c r="W1" s="201"/>
      <c r="X1" s="201"/>
      <c r="Y1" s="201"/>
      <c r="Z1" s="201"/>
      <c r="AA1" s="201"/>
      <c r="AB1" s="201"/>
    </row>
    <row r="2" spans="1:28" x14ac:dyDescent="0.2">
      <c r="A2" s="44"/>
      <c r="B2" s="200" t="s">
        <v>384</v>
      </c>
      <c r="C2" s="201"/>
      <c r="D2" s="201"/>
      <c r="E2" s="201"/>
      <c r="F2" s="44"/>
      <c r="G2" s="200" t="s">
        <v>385</v>
      </c>
      <c r="H2" s="201"/>
      <c r="I2" s="201"/>
      <c r="J2" s="206"/>
      <c r="K2" s="44"/>
      <c r="L2" s="200" t="s">
        <v>386</v>
      </c>
      <c r="M2" s="201"/>
      <c r="N2" s="201"/>
      <c r="O2" s="201"/>
      <c r="P2" s="200" t="s">
        <v>387</v>
      </c>
      <c r="Q2" s="201"/>
      <c r="R2" s="201"/>
      <c r="S2" s="206"/>
      <c r="T2" s="44"/>
      <c r="U2" s="200" t="s">
        <v>386</v>
      </c>
      <c r="V2" s="201"/>
      <c r="W2" s="201"/>
      <c r="X2" s="201"/>
      <c r="Y2" s="200" t="s">
        <v>387</v>
      </c>
      <c r="Z2" s="201"/>
      <c r="AA2" s="201"/>
      <c r="AB2" s="206"/>
    </row>
    <row r="3" spans="1:28" x14ac:dyDescent="0.2">
      <c r="A3" s="44"/>
      <c r="B3" s="75" t="s">
        <v>282</v>
      </c>
      <c r="C3" s="76" t="s">
        <v>264</v>
      </c>
      <c r="D3" s="77" t="s">
        <v>265</v>
      </c>
      <c r="E3" s="77" t="s">
        <v>266</v>
      </c>
      <c r="F3" s="44"/>
      <c r="G3" s="75" t="s">
        <v>282</v>
      </c>
      <c r="H3" s="76" t="s">
        <v>264</v>
      </c>
      <c r="I3" s="77" t="s">
        <v>265</v>
      </c>
      <c r="J3" s="78" t="s">
        <v>266</v>
      </c>
      <c r="K3" s="44"/>
      <c r="L3" s="75" t="s">
        <v>282</v>
      </c>
      <c r="M3" s="76" t="s">
        <v>264</v>
      </c>
      <c r="N3" s="77" t="s">
        <v>265</v>
      </c>
      <c r="O3" s="77" t="s">
        <v>266</v>
      </c>
      <c r="P3" s="75" t="s">
        <v>282</v>
      </c>
      <c r="Q3" s="76" t="s">
        <v>264</v>
      </c>
      <c r="R3" s="77" t="s">
        <v>265</v>
      </c>
      <c r="S3" s="78" t="s">
        <v>266</v>
      </c>
      <c r="T3" s="44"/>
      <c r="U3" s="75" t="s">
        <v>282</v>
      </c>
      <c r="V3" s="76" t="s">
        <v>264</v>
      </c>
      <c r="W3" s="77" t="s">
        <v>265</v>
      </c>
      <c r="X3" s="77" t="s">
        <v>266</v>
      </c>
      <c r="Y3" s="75" t="s">
        <v>282</v>
      </c>
      <c r="Z3" s="76" t="s">
        <v>264</v>
      </c>
      <c r="AA3" s="77" t="s">
        <v>265</v>
      </c>
      <c r="AB3" s="78" t="s">
        <v>266</v>
      </c>
    </row>
    <row r="4" spans="1:28" x14ac:dyDescent="0.2">
      <c r="A4" s="44" t="s">
        <v>72</v>
      </c>
      <c r="B4" s="61">
        <f>+SUM(B5:B31)</f>
        <v>20526740.975000001</v>
      </c>
      <c r="C4" s="61">
        <f>+SUM(C5:C31)</f>
        <v>21724185.758899897</v>
      </c>
      <c r="D4" s="61">
        <f>+SUM(D5:D31)</f>
        <v>24123437.86407626</v>
      </c>
      <c r="E4" s="61">
        <f>+SUM(E5:E31)</f>
        <v>35137491.975000009</v>
      </c>
      <c r="F4" s="44" t="s">
        <v>72</v>
      </c>
      <c r="G4" s="89">
        <f>+SUM(G5:G31)</f>
        <v>16290030.852595003</v>
      </c>
      <c r="H4" s="90">
        <f>+SUM(H5:H31)</f>
        <v>17033791.967401791</v>
      </c>
      <c r="I4" s="90">
        <f>+SUM(I5:I31)</f>
        <v>17546854.23572332</v>
      </c>
      <c r="J4" s="90">
        <f>+SUM(J5:J31)</f>
        <v>26352925.965527918</v>
      </c>
      <c r="K4" s="44" t="s">
        <v>72</v>
      </c>
      <c r="L4" s="61">
        <f>+SUM(L5:L31)</f>
        <v>12214867.348343145</v>
      </c>
      <c r="M4" s="61">
        <f t="shared" ref="M4:S4" si="0">+SUM(M5:M31)</f>
        <v>12929015.49461106</v>
      </c>
      <c r="N4" s="61">
        <f t="shared" si="0"/>
        <v>14179180.675749011</v>
      </c>
      <c r="O4" s="61">
        <f t="shared" si="0"/>
        <v>21032863.98722915</v>
      </c>
      <c r="P4" s="167">
        <f t="shared" si="0"/>
        <v>10447480.695590522</v>
      </c>
      <c r="Q4" s="61">
        <f t="shared" si="0"/>
        <v>10895122.691302916</v>
      </c>
      <c r="R4" s="61">
        <f t="shared" si="0"/>
        <v>10798274.247613139</v>
      </c>
      <c r="S4" s="61">
        <f t="shared" si="0"/>
        <v>16691831.581221724</v>
      </c>
      <c r="T4" s="44" t="s">
        <v>72</v>
      </c>
      <c r="U4" s="61">
        <f>+SUM(U5:U31)</f>
        <v>6764810.0073250681</v>
      </c>
      <c r="V4" s="61">
        <f t="shared" ref="V4:AB4" si="1">+SUM(V5:V31)</f>
        <v>7031101.8980101049</v>
      </c>
      <c r="W4" s="61">
        <f t="shared" si="1"/>
        <v>9251775.6186764687</v>
      </c>
      <c r="X4" s="61">
        <f t="shared" si="1"/>
        <v>10942381.491413251</v>
      </c>
      <c r="Y4" s="89">
        <f t="shared" si="1"/>
        <v>5661913.510355507</v>
      </c>
      <c r="Z4" s="90">
        <f t="shared" si="1"/>
        <v>5857005.4673747476</v>
      </c>
      <c r="AA4" s="90">
        <f t="shared" si="1"/>
        <v>6875876.2483972972</v>
      </c>
      <c r="AB4" s="90">
        <f t="shared" si="1"/>
        <v>8491702.3719145674</v>
      </c>
    </row>
    <row r="5" spans="1:28" x14ac:dyDescent="0.2">
      <c r="A5" s="44" t="s">
        <v>0</v>
      </c>
      <c r="B5" s="61">
        <f>+'Option 1, Step 1'!AB5</f>
        <v>264967.36773347674</v>
      </c>
      <c r="C5" s="61">
        <f>+'Option 2, Step 1'!M4</f>
        <v>296190.04647618369</v>
      </c>
      <c r="D5" s="61">
        <f>+'Option 3, Step 1'!M4</f>
        <v>265936.01687188476</v>
      </c>
      <c r="E5" s="61">
        <f>+'Option 4, Step 1'!N4</f>
        <v>461617.36773347674</v>
      </c>
      <c r="F5" s="44" t="s">
        <v>0</v>
      </c>
      <c r="G5" s="89">
        <f>+B5-'Step 2'!M5*'Option 1, Step 1'!AB5</f>
        <v>264967.36773347674</v>
      </c>
      <c r="H5" s="90">
        <f>+C5-'Step 2'!N5*'Option 2, Step 1'!M4</f>
        <v>296024.01459897368</v>
      </c>
      <c r="I5" s="90">
        <f>+D5-'Step 2'!O5*'Option 3, Step 1'!M4</f>
        <v>265936.01687188476</v>
      </c>
      <c r="J5" s="90">
        <f>+E5-'Step 2'!P5*'Option 4, Step 1'!N4</f>
        <v>460584.66502931714</v>
      </c>
      <c r="K5" s="44" t="s">
        <v>0</v>
      </c>
      <c r="L5" s="61">
        <f>+B5*'Step 3'!$E3</f>
        <v>259668.02037880721</v>
      </c>
      <c r="M5" s="61">
        <f>+C5*'Step 3'!$E3</f>
        <v>290266.24554666004</v>
      </c>
      <c r="N5" s="61">
        <f>+D5*'Step 3'!$E3</f>
        <v>260617.29653444706</v>
      </c>
      <c r="O5" s="61">
        <f>+E5*'Step 3'!$E3</f>
        <v>452385.02037880721</v>
      </c>
      <c r="P5" s="89">
        <f>+G5*'Step 3'!$E3</f>
        <v>259668.02037880721</v>
      </c>
      <c r="Q5" s="90">
        <f>+H5*'Step 3'!$E3</f>
        <v>290103.53430699417</v>
      </c>
      <c r="R5" s="90">
        <f>+I5*'Step 3'!$E3</f>
        <v>260617.29653444706</v>
      </c>
      <c r="S5" s="90">
        <f>+J5*'Step 3'!$E3</f>
        <v>451372.97172873077</v>
      </c>
      <c r="T5" s="44" t="s">
        <v>0</v>
      </c>
      <c r="U5" s="61">
        <f>+L5*'Step 4'!C5</f>
        <v>70110.365502277957</v>
      </c>
      <c r="V5" s="61">
        <f>+M5*'Step 4'!D5</f>
        <v>88240.938646184659</v>
      </c>
      <c r="W5" s="61">
        <f>+N5*'Step 4'!E5</f>
        <v>89146.499298489871</v>
      </c>
      <c r="X5" s="61">
        <f>+O5*'Step 4'!F5</f>
        <v>117620.10529848989</v>
      </c>
      <c r="Y5" s="89">
        <f>+P5*'Step 4'!C5</f>
        <v>70110.365502277957</v>
      </c>
      <c r="Z5" s="90">
        <f>+Q5*'Step 4'!D5</f>
        <v>88191.474429326248</v>
      </c>
      <c r="AA5" s="90">
        <f>+R5*'Step 4'!E5</f>
        <v>89146.499298489871</v>
      </c>
      <c r="AB5" s="90">
        <f>+S5*'Step 4'!F5</f>
        <v>117356.97264947</v>
      </c>
    </row>
    <row r="6" spans="1:28" x14ac:dyDescent="0.2">
      <c r="A6" s="44" t="s">
        <v>1</v>
      </c>
      <c r="B6" s="61">
        <f>+'Option 1, Step 1'!AB6</f>
        <v>444111.27559925435</v>
      </c>
      <c r="C6" s="61">
        <f>+'Option 2, Step 1'!M5</f>
        <v>472003.46508056583</v>
      </c>
      <c r="D6" s="61">
        <f>+'Option 3, Step 1'!M5</f>
        <v>513832.34895304625</v>
      </c>
      <c r="E6" s="61">
        <f>+'Option 4, Step 1'!N5</f>
        <v>891436.2755992543</v>
      </c>
      <c r="F6" s="44" t="s">
        <v>1</v>
      </c>
      <c r="G6" s="89">
        <f>+B6-'Step 2'!M6*'Option 1, Step 1'!AB6</f>
        <v>444111.27559925435</v>
      </c>
      <c r="H6" s="90">
        <f>+C6-'Step 2'!N6*'Option 2, Step 1'!M5</f>
        <v>472003.46508056583</v>
      </c>
      <c r="I6" s="90">
        <f>+D6-'Step 2'!O6*'Option 3, Step 1'!M5</f>
        <v>513832.34895304625</v>
      </c>
      <c r="J6" s="90">
        <f>+E6-'Step 2'!P6*'Option 4, Step 1'!N5</f>
        <v>891436.2755992543</v>
      </c>
      <c r="K6" s="44" t="s">
        <v>1</v>
      </c>
      <c r="L6" s="61">
        <f>+B6*'Step 3'!$E4</f>
        <v>412579.37503170734</v>
      </c>
      <c r="M6" s="61">
        <f>+C6*'Step 3'!$E4</f>
        <v>438491.21905984567</v>
      </c>
      <c r="N6" s="61">
        <f>+D6*'Step 3'!$E4</f>
        <v>477350.25217737997</v>
      </c>
      <c r="O6" s="61">
        <f>+E6*'Step 3'!$E4</f>
        <v>828144.30003170727</v>
      </c>
      <c r="P6" s="89">
        <f>+G6*'Step 3'!$E4</f>
        <v>412579.37503170734</v>
      </c>
      <c r="Q6" s="90">
        <f>+H6*'Step 3'!$E4</f>
        <v>438491.21905984567</v>
      </c>
      <c r="R6" s="90">
        <f>+I6*'Step 3'!$E4</f>
        <v>477350.25217737997</v>
      </c>
      <c r="S6" s="90">
        <f>+J6*'Step 3'!$E4</f>
        <v>828144.30003170727</v>
      </c>
      <c r="T6" s="44" t="s">
        <v>1</v>
      </c>
      <c r="U6" s="61">
        <f>+L6*'Step 4'!C6</f>
        <v>195975.20314006097</v>
      </c>
      <c r="V6" s="61">
        <f>+M6*'Step 4'!D6</f>
        <v>178904.41737641706</v>
      </c>
      <c r="W6" s="61">
        <f>+N6*'Step 4'!E6</f>
        <v>241298.62796182677</v>
      </c>
      <c r="X6" s="61">
        <f>+O6*'Step 4'!F6</f>
        <v>308897.82391182682</v>
      </c>
      <c r="Y6" s="89">
        <f>+P6*'Step 4'!C6</f>
        <v>195975.20314006097</v>
      </c>
      <c r="Z6" s="90">
        <f>+Q6*'Step 4'!D6</f>
        <v>178904.41737641706</v>
      </c>
      <c r="AA6" s="90">
        <f>+R6*'Step 4'!E6</f>
        <v>241298.62796182677</v>
      </c>
      <c r="AB6" s="90">
        <f>+S6*'Step 4'!F6</f>
        <v>308897.82391182682</v>
      </c>
    </row>
    <row r="7" spans="1:28" x14ac:dyDescent="0.2">
      <c r="A7" s="44" t="s">
        <v>2</v>
      </c>
      <c r="B7" s="61">
        <f>+'Option 1, Step 1'!AB7</f>
        <v>297308.80246108072</v>
      </c>
      <c r="C7" s="61">
        <f>+'Option 2, Step 1'!M6</f>
        <v>311289.17861313513</v>
      </c>
      <c r="D7" s="61">
        <f>+'Option 3, Step 1'!M6</f>
        <v>273068.15201550635</v>
      </c>
      <c r="E7" s="61">
        <f>+'Option 4, Step 1'!N6</f>
        <v>432533.80246108072</v>
      </c>
      <c r="F7" s="44" t="s">
        <v>2</v>
      </c>
      <c r="G7" s="89">
        <f>+B7-'Step 2'!M7*'Option 1, Step 1'!AB7</f>
        <v>297308.80246108072</v>
      </c>
      <c r="H7" s="90">
        <f>+C7-'Step 2'!N7*'Option 2, Step 1'!M6</f>
        <v>311289.17861313513</v>
      </c>
      <c r="I7" s="90">
        <f>+D7-'Step 2'!O7*'Option 3, Step 1'!M6</f>
        <v>273068.15201550635</v>
      </c>
      <c r="J7" s="90">
        <f>+E7-'Step 2'!P7*'Option 4, Step 1'!N6</f>
        <v>432533.80246108072</v>
      </c>
      <c r="K7" s="44" t="s">
        <v>2</v>
      </c>
      <c r="L7" s="61">
        <f>+B7*'Step 3'!$E5</f>
        <v>68083.715763587476</v>
      </c>
      <c r="M7" s="61">
        <f>+C7*'Step 3'!$E5</f>
        <v>71285.221902407939</v>
      </c>
      <c r="N7" s="61">
        <f>+D7*'Step 3'!$E5</f>
        <v>62532.606811550948</v>
      </c>
      <c r="O7" s="61">
        <f>+E7*'Step 3'!$E5</f>
        <v>99050.24076358747</v>
      </c>
      <c r="P7" s="89">
        <f>+G7*'Step 3'!$E5</f>
        <v>68083.715763587476</v>
      </c>
      <c r="Q7" s="90">
        <f>+H7*'Step 3'!$E5</f>
        <v>71285.221902407939</v>
      </c>
      <c r="R7" s="90">
        <f>+I7*'Step 3'!$E5</f>
        <v>62532.606811550948</v>
      </c>
      <c r="S7" s="90">
        <f>+J7*'Step 3'!$E5</f>
        <v>99050.24076358747</v>
      </c>
      <c r="T7" s="44" t="s">
        <v>2</v>
      </c>
      <c r="U7" s="61">
        <f>+L7*'Step 4'!C7</f>
        <v>29752.583788687731</v>
      </c>
      <c r="V7" s="61">
        <f>+M7*'Step 4'!D7</f>
        <v>34787.188288375073</v>
      </c>
      <c r="W7" s="61">
        <f>+N7*'Step 4'!E7</f>
        <v>33800.331347307278</v>
      </c>
      <c r="X7" s="61">
        <f>+O7*'Step 4'!F7</f>
        <v>40511.54847230728</v>
      </c>
      <c r="Y7" s="89">
        <f>+P7*'Step 4'!C7</f>
        <v>29752.583788687731</v>
      </c>
      <c r="Z7" s="90">
        <f>+Q7*'Step 4'!D7</f>
        <v>34787.188288375073</v>
      </c>
      <c r="AA7" s="90">
        <f>+R7*'Step 4'!E7</f>
        <v>33800.331347307278</v>
      </c>
      <c r="AB7" s="90">
        <f>+S7*'Step 4'!F7</f>
        <v>40511.54847230728</v>
      </c>
    </row>
    <row r="8" spans="1:28" x14ac:dyDescent="0.2">
      <c r="A8" s="44" t="s">
        <v>3</v>
      </c>
      <c r="B8" s="61">
        <f>+'Option 1, Step 1'!AB8</f>
        <v>61725.362643888526</v>
      </c>
      <c r="C8" s="61">
        <f>+'Option 2, Step 1'!M7</f>
        <v>65362.718171927416</v>
      </c>
      <c r="D8" s="61">
        <f>+'Option 3, Step 1'!M7</f>
        <v>70377.969832011222</v>
      </c>
      <c r="E8" s="61">
        <f>+'Option 4, Step 1'!N7</f>
        <v>99737.862643888526</v>
      </c>
      <c r="F8" s="44" t="s">
        <v>3</v>
      </c>
      <c r="G8" s="89">
        <f>+B8-'Step 2'!M8*'Option 1, Step 1'!AB8</f>
        <v>61725.362643888526</v>
      </c>
      <c r="H8" s="90">
        <f>+C8-'Step 2'!N8*'Option 2, Step 1'!M7</f>
        <v>65362.718171927416</v>
      </c>
      <c r="I8" s="90">
        <f>+D8-'Step 2'!O8*'Option 3, Step 1'!M7</f>
        <v>70377.969832011222</v>
      </c>
      <c r="J8" s="90">
        <f>+E8-'Step 2'!P8*'Option 4, Step 1'!N7</f>
        <v>99737.862643888526</v>
      </c>
      <c r="K8" s="44" t="s">
        <v>3</v>
      </c>
      <c r="L8" s="61">
        <f>+B8*'Step 3'!$E6</f>
        <v>27159.15956331095</v>
      </c>
      <c r="M8" s="61">
        <f>+C8*'Step 3'!$E6</f>
        <v>28759.595995648062</v>
      </c>
      <c r="N8" s="61">
        <f>+D8*'Step 3'!$E6</f>
        <v>30966.306726084938</v>
      </c>
      <c r="O8" s="61">
        <f>+E8*'Step 3'!$E6</f>
        <v>43884.659563310954</v>
      </c>
      <c r="P8" s="89">
        <f>+G8*'Step 3'!$E6</f>
        <v>27159.15956331095</v>
      </c>
      <c r="Q8" s="90">
        <f>+H8*'Step 3'!$E6</f>
        <v>28759.595995648062</v>
      </c>
      <c r="R8" s="90">
        <f>+I8*'Step 3'!$E6</f>
        <v>30966.306726084938</v>
      </c>
      <c r="S8" s="90">
        <f>+J8*'Step 3'!$E6</f>
        <v>43884.659563310954</v>
      </c>
      <c r="T8" s="44" t="s">
        <v>3</v>
      </c>
      <c r="U8" s="61">
        <f>+L8*'Step 4'!C8</f>
        <v>5757.7418274219208</v>
      </c>
      <c r="V8" s="61">
        <f>+M8*'Step 4'!D8</f>
        <v>8282.7636467466436</v>
      </c>
      <c r="W8" s="61">
        <f>+N8*'Step 4'!E8</f>
        <v>9281.5697525744945</v>
      </c>
      <c r="X8" s="61">
        <f>+O8*'Step 4'!F8</f>
        <v>10795.626252574495</v>
      </c>
      <c r="Y8" s="89">
        <f>+P8*'Step 4'!C8</f>
        <v>5757.7418274219208</v>
      </c>
      <c r="Z8" s="90">
        <f>+Q8*'Step 4'!D8</f>
        <v>8282.7636467466436</v>
      </c>
      <c r="AA8" s="90">
        <f>+R8*'Step 4'!E8</f>
        <v>9281.5697525744945</v>
      </c>
      <c r="AB8" s="90">
        <f>+S8*'Step 4'!F8</f>
        <v>10795.626252574495</v>
      </c>
    </row>
    <row r="9" spans="1:28" x14ac:dyDescent="0.2">
      <c r="A9" s="44" t="s">
        <v>4</v>
      </c>
      <c r="B9" s="61">
        <f>+'Option 1, Step 1'!AB9</f>
        <v>377086.0526261811</v>
      </c>
      <c r="C9" s="61">
        <f>+'Option 2, Step 1'!M8</f>
        <v>412604.22813067969</v>
      </c>
      <c r="D9" s="61">
        <f>+'Option 3, Step 1'!M8</f>
        <v>745637.11340015882</v>
      </c>
      <c r="E9" s="61">
        <f>+'Option 4, Step 1'!N8</f>
        <v>1031588.5526261812</v>
      </c>
      <c r="F9" s="44" t="s">
        <v>4</v>
      </c>
      <c r="G9" s="89">
        <f>+B9-'Step 2'!M9*'Option 1, Step 1'!AB9</f>
        <v>377086.0526261811</v>
      </c>
      <c r="H9" s="90">
        <f>+C9-'Step 2'!N9*'Option 2, Step 1'!M8</f>
        <v>412604.22813067969</v>
      </c>
      <c r="I9" s="90">
        <f>+D9-'Step 2'!O9*'Option 3, Step 1'!M8</f>
        <v>745637.11340015882</v>
      </c>
      <c r="J9" s="90">
        <f>+E9-'Step 2'!P9*'Option 4, Step 1'!N8</f>
        <v>1031588.5526261812</v>
      </c>
      <c r="K9" s="44" t="s">
        <v>4</v>
      </c>
      <c r="L9" s="61">
        <f>+B9*'Step 3'!$E7</f>
        <v>114634.15999835906</v>
      </c>
      <c r="M9" s="61">
        <f>+C9*'Step 3'!$E7</f>
        <v>125431.68535172663</v>
      </c>
      <c r="N9" s="61">
        <f>+D9*'Step 3'!$E7</f>
        <v>226673.68247364828</v>
      </c>
      <c r="O9" s="61">
        <f>+E9*'Step 3'!$E7</f>
        <v>313602.91999835905</v>
      </c>
      <c r="P9" s="89">
        <f>+G9*'Step 3'!$E7</f>
        <v>114634.15999835906</v>
      </c>
      <c r="Q9" s="90">
        <f>+H9*'Step 3'!$E7</f>
        <v>125431.68535172663</v>
      </c>
      <c r="R9" s="90">
        <f>+I9*'Step 3'!$E7</f>
        <v>226673.68247364828</v>
      </c>
      <c r="S9" s="90">
        <f>+J9*'Step 3'!$E7</f>
        <v>313602.91999835905</v>
      </c>
      <c r="T9" s="44" t="s">
        <v>4</v>
      </c>
      <c r="U9" s="61">
        <f>+L9*'Step 4'!C9</f>
        <v>50095.127919282917</v>
      </c>
      <c r="V9" s="61">
        <f>+M9*'Step 4'!D9</f>
        <v>61210.662451642595</v>
      </c>
      <c r="W9" s="61">
        <f>+N9*'Step 4'!E9</f>
        <v>100470.45127932887</v>
      </c>
      <c r="X9" s="61">
        <f>+O9*'Step 4'!F9</f>
        <v>128263.59427932886</v>
      </c>
      <c r="Y9" s="89">
        <f>+P9*'Step 4'!C9</f>
        <v>50095.127919282917</v>
      </c>
      <c r="Z9" s="90">
        <f>+Q9*'Step 4'!D9</f>
        <v>61210.662451642595</v>
      </c>
      <c r="AA9" s="90">
        <f>+R9*'Step 4'!E9</f>
        <v>100470.45127932887</v>
      </c>
      <c r="AB9" s="90">
        <f>+S9*'Step 4'!F9</f>
        <v>128263.59427932886</v>
      </c>
    </row>
    <row r="10" spans="1:28" x14ac:dyDescent="0.2">
      <c r="A10" s="44" t="s">
        <v>5</v>
      </c>
      <c r="B10" s="61">
        <f>+'Option 1, Step 1'!AB10</f>
        <v>2708558.9778366378</v>
      </c>
      <c r="C10" s="61">
        <f>+'Option 2, Step 1'!M9</f>
        <v>3034092.3503105091</v>
      </c>
      <c r="D10" s="61">
        <f>+'Option 3, Step 1'!M9</f>
        <v>3264903.1938065607</v>
      </c>
      <c r="E10" s="61">
        <f>+'Option 4, Step 1'!N9</f>
        <v>4340085.9778366378</v>
      </c>
      <c r="F10" s="44" t="s">
        <v>5</v>
      </c>
      <c r="G10" s="89">
        <f>+B10-'Step 2'!M10*'Option 1, Step 1'!AB10</f>
        <v>2708558.9778366378</v>
      </c>
      <c r="H10" s="90">
        <f>+C10-'Step 2'!N10*'Option 2, Step 1'!M9</f>
        <v>2887618.0906729354</v>
      </c>
      <c r="I10" s="90">
        <f>+D10-'Step 2'!O10*'Option 3, Step 1'!M9</f>
        <v>2660874.8333115196</v>
      </c>
      <c r="J10" s="90">
        <f>+E10-'Step 2'!P10*'Option 4, Step 1'!N9</f>
        <v>3672987.6816273797</v>
      </c>
      <c r="K10" s="44" t="s">
        <v>5</v>
      </c>
      <c r="L10" s="61">
        <f>+B10*'Step 3'!$E8</f>
        <v>1462621.8480317844</v>
      </c>
      <c r="M10" s="61">
        <f>+C10*'Step 3'!$E8</f>
        <v>1638409.869167675</v>
      </c>
      <c r="N10" s="61">
        <f>+D10*'Step 3'!$E8</f>
        <v>1763047.724655543</v>
      </c>
      <c r="O10" s="61">
        <f>+E10*'Step 3'!$E8</f>
        <v>2343646.4280317845</v>
      </c>
      <c r="P10" s="89">
        <f>+G10*'Step 3'!$E8</f>
        <v>1462621.8480317844</v>
      </c>
      <c r="Q10" s="90">
        <f>+H10*'Step 3'!$E8</f>
        <v>1559313.7689633851</v>
      </c>
      <c r="R10" s="90">
        <f>+I10*'Step 3'!$E8</f>
        <v>1436872.4099882208</v>
      </c>
      <c r="S10" s="90">
        <f>+J10*'Step 3'!$E8</f>
        <v>1983413.3480787852</v>
      </c>
      <c r="T10" s="44" t="s">
        <v>5</v>
      </c>
      <c r="U10" s="61">
        <f>+L10*'Step 4'!C10</f>
        <v>310075.83178273827</v>
      </c>
      <c r="V10" s="61">
        <f>+M10*'Step 4'!D10</f>
        <v>471862.04232029046</v>
      </c>
      <c r="W10" s="61">
        <f>+N10*'Step 4'!E10</f>
        <v>516883.72079581907</v>
      </c>
      <c r="X10" s="61">
        <f>+O10*'Step 4'!F10</f>
        <v>576537.02129581897</v>
      </c>
      <c r="Y10" s="89">
        <f>+P10*'Step 4'!C10</f>
        <v>310075.83178273827</v>
      </c>
      <c r="Z10" s="90">
        <f>+Q10*'Step 4'!D10</f>
        <v>449082.36546145496</v>
      </c>
      <c r="AA10" s="90">
        <f>+R10*'Step 4'!E10</f>
        <v>421256.86514168076</v>
      </c>
      <c r="AB10" s="90">
        <f>+S10*'Step 4'!F10</f>
        <v>487919.68362738116</v>
      </c>
    </row>
    <row r="11" spans="1:28" x14ac:dyDescent="0.2">
      <c r="A11" s="44" t="s">
        <v>6</v>
      </c>
      <c r="B11" s="61">
        <f>+'Option 1, Step 1'!AB11</f>
        <v>183096.63918126476</v>
      </c>
      <c r="C11" s="61">
        <f>+'Option 2, Step 1'!M10</f>
        <v>199059.49667994055</v>
      </c>
      <c r="D11" s="61">
        <f>+'Option 3, Step 1'!M10</f>
        <v>191973.45528419642</v>
      </c>
      <c r="E11" s="61">
        <f>+'Option 4, Step 1'!N10</f>
        <v>292246.63918126479</v>
      </c>
      <c r="F11" s="44" t="s">
        <v>6</v>
      </c>
      <c r="G11" s="89">
        <f>+B11-'Step 2'!M11*'Option 1, Step 1'!AB11</f>
        <v>183096.63918126476</v>
      </c>
      <c r="H11" s="90">
        <f>+C11-'Step 2'!N11*'Option 2, Step 1'!M10</f>
        <v>199059.49667994055</v>
      </c>
      <c r="I11" s="90">
        <f>+D11-'Step 2'!O11*'Option 3, Step 1'!M10</f>
        <v>191973.45528419642</v>
      </c>
      <c r="J11" s="90">
        <f>+E11-'Step 2'!P11*'Option 4, Step 1'!N10</f>
        <v>292246.63918126479</v>
      </c>
      <c r="K11" s="44" t="s">
        <v>6</v>
      </c>
      <c r="L11" s="61">
        <f>+B11*'Step 3'!$E9</f>
        <v>150139.2441286371</v>
      </c>
      <c r="M11" s="61">
        <f>+C11*'Step 3'!$E9</f>
        <v>163228.78727755125</v>
      </c>
      <c r="N11" s="61">
        <f>+D11*'Step 3'!$E9</f>
        <v>157418.23333304105</v>
      </c>
      <c r="O11" s="61">
        <f>+E11*'Step 3'!$E9</f>
        <v>239642.2441286371</v>
      </c>
      <c r="P11" s="89">
        <f>+G11*'Step 3'!$E9</f>
        <v>150139.2441286371</v>
      </c>
      <c r="Q11" s="90">
        <f>+H11*'Step 3'!$E9</f>
        <v>163228.78727755125</v>
      </c>
      <c r="R11" s="90">
        <f>+I11*'Step 3'!$E9</f>
        <v>157418.23333304105</v>
      </c>
      <c r="S11" s="90">
        <f>+J11*'Step 3'!$E9</f>
        <v>239642.2441286371</v>
      </c>
      <c r="T11" s="44" t="s">
        <v>6</v>
      </c>
      <c r="U11" s="61">
        <f>+L11*'Step 4'!C11</f>
        <v>71766.558693488536</v>
      </c>
      <c r="V11" s="61">
        <f>+M11*'Step 4'!D11</f>
        <v>81614.393638775626</v>
      </c>
      <c r="W11" s="61">
        <f>+N11*'Step 4'!E11</f>
        <v>95308.841707699889</v>
      </c>
      <c r="X11" s="61">
        <f>+O11*'Step 4'!F11</f>
        <v>103765.09170769987</v>
      </c>
      <c r="Y11" s="89">
        <f>+P11*'Step 4'!C11</f>
        <v>71766.558693488536</v>
      </c>
      <c r="Z11" s="90">
        <f>+Q11*'Step 4'!D11</f>
        <v>81614.393638775626</v>
      </c>
      <c r="AA11" s="90">
        <f>+R11*'Step 4'!E11</f>
        <v>95308.841707699889</v>
      </c>
      <c r="AB11" s="90">
        <f>+S11*'Step 4'!F11</f>
        <v>103765.09170769987</v>
      </c>
    </row>
    <row r="12" spans="1:28" x14ac:dyDescent="0.2">
      <c r="A12" s="44" t="s">
        <v>7</v>
      </c>
      <c r="B12" s="61">
        <f>+'Option 1, Step 1'!AB12</f>
        <v>49350.268132899422</v>
      </c>
      <c r="C12" s="61">
        <f>+'Option 2, Step 1'!M11</f>
        <v>53830.614142354309</v>
      </c>
      <c r="D12" s="61">
        <f>+'Option 3, Step 1'!M11</f>
        <v>58726.506612611658</v>
      </c>
      <c r="E12" s="61">
        <f>+'Option 4, Step 1'!N11</f>
        <v>89787.768132899422</v>
      </c>
      <c r="F12" s="44" t="s">
        <v>7</v>
      </c>
      <c r="G12" s="89">
        <f>+B12-'Step 2'!M12*'Option 1, Step 1'!AB12</f>
        <v>49350.268132899422</v>
      </c>
      <c r="H12" s="90">
        <f>+C12-'Step 2'!N12*'Option 2, Step 1'!M11</f>
        <v>53830.614142354309</v>
      </c>
      <c r="I12" s="90">
        <f>+D12-'Step 2'!O12*'Option 3, Step 1'!M11</f>
        <v>58726.506612611658</v>
      </c>
      <c r="J12" s="90">
        <f>+E12-'Step 2'!P12*'Option 4, Step 1'!N11</f>
        <v>89787.768132899422</v>
      </c>
      <c r="K12" s="44" t="s">
        <v>7</v>
      </c>
      <c r="L12" s="61">
        <f>+B12*'Step 3'!$E10</f>
        <v>2099.5473392073777</v>
      </c>
      <c r="M12" s="61">
        <f>+C12*'Step 3'!$E10</f>
        <v>2290.1582294571999</v>
      </c>
      <c r="N12" s="61">
        <f>+D12*'Step 3'!$E10</f>
        <v>2498.4480401891833</v>
      </c>
      <c r="O12" s="61">
        <f>+E12*'Step 3'!$E10</f>
        <v>3819.9117615558621</v>
      </c>
      <c r="P12" s="89">
        <f>+G12*'Step 3'!$E10</f>
        <v>2099.5473392073777</v>
      </c>
      <c r="Q12" s="90">
        <f>+H12*'Step 3'!$E10</f>
        <v>2290.1582294571999</v>
      </c>
      <c r="R12" s="90">
        <f>+I12*'Step 3'!$E10</f>
        <v>2498.4480401891833</v>
      </c>
      <c r="S12" s="90">
        <f>+J12*'Step 3'!$E10</f>
        <v>3819.9117615558621</v>
      </c>
      <c r="T12" s="44" t="s">
        <v>7</v>
      </c>
      <c r="U12" s="61">
        <f>+L12*'Step 4'!C12</f>
        <v>917.50218723362423</v>
      </c>
      <c r="V12" s="61">
        <f>+M12*'Step 4'!D12</f>
        <v>1117.5972159751136</v>
      </c>
      <c r="W12" s="61">
        <f>+N12*'Step 4'!E12</f>
        <v>1280.6854218115748</v>
      </c>
      <c r="X12" s="61">
        <f>+O12*'Step 4'!F12</f>
        <v>1562.3439104763477</v>
      </c>
      <c r="Y12" s="89">
        <f>+P12*'Step 4'!C12</f>
        <v>917.50218723362423</v>
      </c>
      <c r="Z12" s="90">
        <f>+Q12*'Step 4'!D12</f>
        <v>1117.5972159751136</v>
      </c>
      <c r="AA12" s="90">
        <f>+R12*'Step 4'!E12</f>
        <v>1280.6854218115748</v>
      </c>
      <c r="AB12" s="90">
        <f>+S12*'Step 4'!F12</f>
        <v>1562.3439104763477</v>
      </c>
    </row>
    <row r="13" spans="1:28" x14ac:dyDescent="0.2">
      <c r="A13" s="44" t="s">
        <v>8</v>
      </c>
      <c r="B13" s="61">
        <f>+'Option 1, Step 1'!AB13</f>
        <v>3293322.6838316899</v>
      </c>
      <c r="C13" s="61">
        <f>+'Option 2, Step 1'!M12</f>
        <v>3396496.9403255163</v>
      </c>
      <c r="D13" s="61">
        <f>+'Option 3, Step 1'!M12</f>
        <v>3172803.7476000842</v>
      </c>
      <c r="E13" s="61">
        <f>+'Option 4, Step 1'!N12</f>
        <v>4806790.1838316899</v>
      </c>
      <c r="F13" s="44" t="s">
        <v>8</v>
      </c>
      <c r="G13" s="89">
        <f>+B13-'Step 2'!M13*'Option 1, Step 1'!AB13</f>
        <v>2799324.2812569365</v>
      </c>
      <c r="H13" s="90">
        <f>+C13-'Step 2'!N13*'Option 2, Step 1'!M12</f>
        <v>2867439.8846402112</v>
      </c>
      <c r="I13" s="90">
        <f>+D13-'Step 2'!O13*'Option 3, Step 1'!M12</f>
        <v>2258272.0029204972</v>
      </c>
      <c r="J13" s="90">
        <f>+E13-'Step 2'!P13*'Option 4, Step 1'!N12</f>
        <v>3831174.508338755</v>
      </c>
      <c r="K13" s="44" t="s">
        <v>8</v>
      </c>
      <c r="L13" s="61">
        <f>+B13*'Step 3'!$E11</f>
        <v>2238037.9284208724</v>
      </c>
      <c r="M13" s="61">
        <f>+C13*'Step 3'!$E11</f>
        <v>2308151.8897412829</v>
      </c>
      <c r="N13" s="61">
        <f>+D13*'Step 3'!$E11</f>
        <v>2156137.0713613839</v>
      </c>
      <c r="O13" s="61">
        <f>+E13*'Step 3'!$E11</f>
        <v>3266542.5705749793</v>
      </c>
      <c r="P13" s="89">
        <f>+G13*'Step 3'!$E11</f>
        <v>1902332.2391577414</v>
      </c>
      <c r="Q13" s="90">
        <f>+H13*'Step 3'!$E11</f>
        <v>1948621.4487263816</v>
      </c>
      <c r="R13" s="90">
        <f>+I13*'Step 3'!$E11</f>
        <v>1534650.2242369824</v>
      </c>
      <c r="S13" s="90">
        <f>+J13*'Step 3'!$E11</f>
        <v>2603545.0161492662</v>
      </c>
      <c r="T13" s="44" t="s">
        <v>8</v>
      </c>
      <c r="U13" s="61">
        <f>+L13*'Step 4'!C13</f>
        <v>1577816.7395367152</v>
      </c>
      <c r="V13" s="61">
        <f>+M13*'Step 4'!D13</f>
        <v>1814207.3853366484</v>
      </c>
      <c r="W13" s="61">
        <f>+N13*'Step 4'!E13</f>
        <v>2049331.1375104142</v>
      </c>
      <c r="X13" s="61">
        <f>+O13*'Step 4'!F13</f>
        <v>2325778.310249385</v>
      </c>
      <c r="Y13" s="89">
        <f>+P13*'Step 4'!C13</f>
        <v>1341144.2286062078</v>
      </c>
      <c r="Z13" s="90">
        <f>+Q13*'Step 4'!D13</f>
        <v>1531616.458698936</v>
      </c>
      <c r="AA13" s="90">
        <f>+R13*'Step 4'!E13</f>
        <v>1458630.1267620393</v>
      </c>
      <c r="AB13" s="90">
        <f>+S13*'Step 4'!F13</f>
        <v>1853724.0514982773</v>
      </c>
    </row>
    <row r="14" spans="1:28" x14ac:dyDescent="0.2">
      <c r="A14" s="44" t="s">
        <v>9</v>
      </c>
      <c r="B14" s="61">
        <f>+'Option 1, Step 1'!AB14</f>
        <v>341215.60689129453</v>
      </c>
      <c r="C14" s="61">
        <f>+'Option 2, Step 1'!M13</f>
        <v>363781.8350462651</v>
      </c>
      <c r="D14" s="61">
        <f>+'Option 3, Step 1'!M13</f>
        <v>408297.11203705129</v>
      </c>
      <c r="E14" s="61">
        <f>+'Option 4, Step 1'!N13</f>
        <v>539180.60689129448</v>
      </c>
      <c r="F14" s="44" t="s">
        <v>9</v>
      </c>
      <c r="G14" s="89">
        <f>+B14-'Step 2'!M14*'Option 1, Step 1'!AB14</f>
        <v>341215.60689129453</v>
      </c>
      <c r="H14" s="90">
        <f>+C14-'Step 2'!N14*'Option 2, Step 1'!M13</f>
        <v>363781.8350462651</v>
      </c>
      <c r="I14" s="90">
        <f>+D14-'Step 2'!O14*'Option 3, Step 1'!M13</f>
        <v>408297.11203705129</v>
      </c>
      <c r="J14" s="90">
        <f>+E14-'Step 2'!P14*'Option 4, Step 1'!N13</f>
        <v>539180.60689129448</v>
      </c>
      <c r="K14" s="44" t="s">
        <v>9</v>
      </c>
      <c r="L14" s="61">
        <f>+B14*'Step 3'!$E12</f>
        <v>310506.20227107801</v>
      </c>
      <c r="M14" s="61">
        <f>+C14*'Step 3'!$E12</f>
        <v>331041.46989210125</v>
      </c>
      <c r="N14" s="61">
        <f>+D14*'Step 3'!$E12</f>
        <v>371550.37195371668</v>
      </c>
      <c r="O14" s="61">
        <f>+E14*'Step 3'!$E12</f>
        <v>490654.35227107798</v>
      </c>
      <c r="P14" s="89">
        <f>+G14*'Step 3'!$E12</f>
        <v>310506.20227107801</v>
      </c>
      <c r="Q14" s="90">
        <f>+H14*'Step 3'!$E12</f>
        <v>331041.46989210125</v>
      </c>
      <c r="R14" s="90">
        <f>+I14*'Step 3'!$E12</f>
        <v>371550.37195371668</v>
      </c>
      <c r="S14" s="90">
        <f>+J14*'Step 3'!$E12</f>
        <v>490654.35227107798</v>
      </c>
      <c r="T14" s="44" t="s">
        <v>9</v>
      </c>
      <c r="U14" s="61">
        <f>+L14*'Step 4'!C14</f>
        <v>148421.96468557528</v>
      </c>
      <c r="V14" s="61">
        <f>+M14*'Step 4'!D14</f>
        <v>165520.73494605062</v>
      </c>
      <c r="W14" s="61">
        <f>+N14*'Step 4'!E14</f>
        <v>195965.27203337676</v>
      </c>
      <c r="X14" s="61">
        <f>+O14*'Step 4'!F14</f>
        <v>212453.33453337679</v>
      </c>
      <c r="Y14" s="89">
        <f>+P14*'Step 4'!C14</f>
        <v>148421.96468557528</v>
      </c>
      <c r="Z14" s="90">
        <f>+Q14*'Step 4'!D14</f>
        <v>165520.73494605062</v>
      </c>
      <c r="AA14" s="90">
        <f>+R14*'Step 4'!E14</f>
        <v>195965.27203337676</v>
      </c>
      <c r="AB14" s="90">
        <f>+S14*'Step 4'!F14</f>
        <v>212453.33453337679</v>
      </c>
    </row>
    <row r="15" spans="1:28" x14ac:dyDescent="0.2">
      <c r="A15" s="44" t="s">
        <v>10</v>
      </c>
      <c r="B15" s="61">
        <f>+'Option 1, Step 1'!AB15</f>
        <v>2240293.5958263204</v>
      </c>
      <c r="C15" s="61">
        <f>+'Option 2, Step 1'!M14</f>
        <v>2339306.3096415168</v>
      </c>
      <c r="D15" s="61">
        <f>+'Option 3, Step 1'!M14</f>
        <v>2391916.2554970453</v>
      </c>
      <c r="E15" s="61">
        <f>+'Option 4, Step 1'!N14</f>
        <v>4057281.0958263204</v>
      </c>
      <c r="F15" s="44" t="s">
        <v>10</v>
      </c>
      <c r="G15" s="89">
        <f>+B15-'Step 2'!M15*'Option 1, Step 1'!AB15</f>
        <v>1568205.5170784243</v>
      </c>
      <c r="H15" s="90">
        <f>+C15-'Step 2'!N15*'Option 2, Step 1'!M14</f>
        <v>1663980.623159667</v>
      </c>
      <c r="I15" s="90">
        <f>+D15-'Step 2'!O15*'Option 3, Step 1'!M14</f>
        <v>1850182.179356894</v>
      </c>
      <c r="J15" s="90">
        <f>+E15-'Step 2'!P15*'Option 4, Step 1'!N14</f>
        <v>3271185.0586107424</v>
      </c>
      <c r="K15" s="44" t="s">
        <v>10</v>
      </c>
      <c r="L15" s="61">
        <f>+B15*'Step 3'!$E13</f>
        <v>2105875.980076741</v>
      </c>
      <c r="M15" s="61">
        <f>+C15*'Step 3'!$E13</f>
        <v>2198947.9310630257</v>
      </c>
      <c r="N15" s="61">
        <f>+D15*'Step 3'!$E13</f>
        <v>2248401.2801672225</v>
      </c>
      <c r="O15" s="61">
        <f>+E15*'Step 3'!$E13</f>
        <v>3813844.230076741</v>
      </c>
      <c r="P15" s="89">
        <f>+G15*'Step 3'!$E13</f>
        <v>1474113.1860537189</v>
      </c>
      <c r="Q15" s="90">
        <f>+H15*'Step 3'!$E13</f>
        <v>1564141.7857700868</v>
      </c>
      <c r="R15" s="90">
        <f>+I15*'Step 3'!$E13</f>
        <v>1739171.2485954803</v>
      </c>
      <c r="S15" s="90">
        <f>+J15*'Step 3'!$E13</f>
        <v>3074913.9550940976</v>
      </c>
      <c r="T15" s="44" t="s">
        <v>10</v>
      </c>
      <c r="U15" s="61">
        <f>+L15*'Step 4'!C15</f>
        <v>1212984.5645242028</v>
      </c>
      <c r="V15" s="61">
        <f>+M15*'Step 4'!D15</f>
        <v>879579.17242521036</v>
      </c>
      <c r="W15" s="61">
        <f>+N15*'Step 4'!E15</f>
        <v>1432592.6312665287</v>
      </c>
      <c r="X15" s="61">
        <f>+O15*'Step 4'!F15</f>
        <v>1815389.8535165286</v>
      </c>
      <c r="Y15" s="89">
        <f>+P15*'Step 4'!C15</f>
        <v>849089.1951669422</v>
      </c>
      <c r="Z15" s="90">
        <f>+Q15*'Step 4'!D15</f>
        <v>625656.71430803475</v>
      </c>
      <c r="AA15" s="90">
        <f>+R15*'Step 4'!E15</f>
        <v>1108131.3363525523</v>
      </c>
      <c r="AB15" s="90">
        <f>+S15*'Step 4'!F15</f>
        <v>1463659.0426247905</v>
      </c>
    </row>
    <row r="16" spans="1:28" x14ac:dyDescent="0.2">
      <c r="A16" s="44" t="s">
        <v>11</v>
      </c>
      <c r="B16" s="61">
        <f>+'Option 1, Step 1'!AB16</f>
        <v>448981.95662902662</v>
      </c>
      <c r="C16" s="61">
        <f>+'Option 2, Step 1'!M15</f>
        <v>473021.7211391966</v>
      </c>
      <c r="D16" s="61">
        <f>+'Option 3, Step 1'!M15</f>
        <v>601793.38660979515</v>
      </c>
      <c r="E16" s="61">
        <f>+'Option 4, Step 1'!N15</f>
        <v>846393.45662902668</v>
      </c>
      <c r="F16" s="44" t="s">
        <v>11</v>
      </c>
      <c r="G16" s="89">
        <f>+B16-'Step 2'!M16*'Option 1, Step 1'!AB16</f>
        <v>0</v>
      </c>
      <c r="H16" s="90">
        <f>+C16-'Step 2'!N16*'Option 2, Step 1'!M15</f>
        <v>37494.829436206492</v>
      </c>
      <c r="I16" s="90">
        <f>+D16-'Step 2'!O16*'Option 3, Step 1'!M15</f>
        <v>349485.56740048004</v>
      </c>
      <c r="J16" s="90">
        <f>+E16-'Step 2'!P16*'Option 4, Step 1'!N15</f>
        <v>495854.86027525924</v>
      </c>
      <c r="K16" s="44" t="s">
        <v>11</v>
      </c>
      <c r="L16" s="61">
        <f>+B16*'Step 3'!$E14</f>
        <v>114490.39894040179</v>
      </c>
      <c r="M16" s="61">
        <f>+C16*'Step 3'!$E14</f>
        <v>120620.53889049514</v>
      </c>
      <c r="N16" s="61">
        <f>+D16*'Step 3'!$E14</f>
        <v>153457.31358549776</v>
      </c>
      <c r="O16" s="61">
        <f>+E16*'Step 3'!$E14</f>
        <v>215830.33144040182</v>
      </c>
      <c r="P16" s="89">
        <f>+G16*'Step 3'!$E14</f>
        <v>0</v>
      </c>
      <c r="Q16" s="90">
        <f>+H16*'Step 3'!$E14</f>
        <v>9561.181506232655</v>
      </c>
      <c r="R16" s="90">
        <f>+I16*'Step 3'!$E14</f>
        <v>89118.819687122406</v>
      </c>
      <c r="S16" s="90">
        <f>+J16*'Step 3'!$E14</f>
        <v>126442.98937019111</v>
      </c>
      <c r="T16" s="44" t="s">
        <v>11</v>
      </c>
      <c r="U16" s="61">
        <f>+L16*'Step 4'!C16</f>
        <v>83005.539231791292</v>
      </c>
      <c r="V16" s="61">
        <f>+M16*'Step 4'!D16</f>
        <v>86123.064767813528</v>
      </c>
      <c r="W16" s="61">
        <f>+N16*'Step 4'!E16</f>
        <v>127060.27907268528</v>
      </c>
      <c r="X16" s="61">
        <f>+O16*'Step 4'!F16</f>
        <v>153239.53532268529</v>
      </c>
      <c r="Y16" s="89">
        <f>+P16*'Step 4'!C16</f>
        <v>0</v>
      </c>
      <c r="Z16" s="90">
        <f>+Q16*'Step 4'!D16</f>
        <v>6826.6835954501157</v>
      </c>
      <c r="AA16" s="90">
        <f>+R16*'Step 4'!E16</f>
        <v>73789.002527828678</v>
      </c>
      <c r="AB16" s="90">
        <f>+S16*'Step 4'!F16</f>
        <v>89774.522452835678</v>
      </c>
    </row>
    <row r="17" spans="1:28" x14ac:dyDescent="0.2">
      <c r="A17" s="44" t="s">
        <v>26</v>
      </c>
      <c r="B17" s="61">
        <f>+'Option 1, Step 1'!AB17</f>
        <v>130290.17242023011</v>
      </c>
      <c r="C17" s="61">
        <f>+'Option 2, Step 1'!M16</f>
        <v>135408.01377320857</v>
      </c>
      <c r="D17" s="61">
        <f>+'Option 3, Step 1'!M16</f>
        <v>154778.47506979684</v>
      </c>
      <c r="E17" s="61">
        <f>+'Option 4, Step 1'!N16</f>
        <v>175902.67242023011</v>
      </c>
      <c r="F17" s="44" t="s">
        <v>26</v>
      </c>
      <c r="G17" s="89">
        <f>+B17-'Step 2'!M17*'Option 1, Step 1'!AB17</f>
        <v>130290.17242023011</v>
      </c>
      <c r="H17" s="90">
        <f>+C17-'Step 2'!N17*'Option 2, Step 1'!M16</f>
        <v>135408.01377320857</v>
      </c>
      <c r="I17" s="90">
        <f>+D17-'Step 2'!O17*'Option 3, Step 1'!M16</f>
        <v>154778.47506979684</v>
      </c>
      <c r="J17" s="90">
        <f>+E17-'Step 2'!P17*'Option 4, Step 1'!N16</f>
        <v>175902.67242023011</v>
      </c>
      <c r="K17" s="44" t="s">
        <v>26</v>
      </c>
      <c r="L17" s="61">
        <f>+B17*'Step 3'!$E15</f>
        <v>58256.07425460963</v>
      </c>
      <c r="M17" s="61">
        <f>+C17*'Step 3'!$E15</f>
        <v>60544.392247779557</v>
      </c>
      <c r="N17" s="61">
        <f>+D17*'Step 3'!$E15</f>
        <v>69205.42178422428</v>
      </c>
      <c r="O17" s="61">
        <f>+E17*'Step 3'!$E15</f>
        <v>78650.591642828222</v>
      </c>
      <c r="P17" s="89">
        <f>+G17*'Step 3'!$E15</f>
        <v>58256.07425460963</v>
      </c>
      <c r="Q17" s="90">
        <f>+H17*'Step 3'!$E15</f>
        <v>60544.392247779557</v>
      </c>
      <c r="R17" s="90">
        <f>+I17*'Step 3'!$E15</f>
        <v>69205.42178422428</v>
      </c>
      <c r="S17" s="90">
        <f>+J17*'Step 3'!$E15</f>
        <v>78650.591642828222</v>
      </c>
      <c r="T17" s="44" t="s">
        <v>26</v>
      </c>
      <c r="U17" s="61">
        <f>+L17*'Step 4'!C17</f>
        <v>25457.90444926441</v>
      </c>
      <c r="V17" s="61">
        <f>+M17*'Step 4'!D17</f>
        <v>29545.663416916424</v>
      </c>
      <c r="W17" s="61">
        <f>+N17*'Step 4'!E17</f>
        <v>31313.048067793254</v>
      </c>
      <c r="X17" s="61">
        <f>+O17*'Step 4'!F17</f>
        <v>32168.091981916747</v>
      </c>
      <c r="Y17" s="89">
        <f>+P17*'Step 4'!C17</f>
        <v>25457.90444926441</v>
      </c>
      <c r="Z17" s="90">
        <f>+Q17*'Step 4'!D17</f>
        <v>29545.663416916424</v>
      </c>
      <c r="AA17" s="90">
        <f>+R17*'Step 4'!E17</f>
        <v>31313.048067793254</v>
      </c>
      <c r="AB17" s="90">
        <f>+S17*'Step 4'!F17</f>
        <v>32168.091981916747</v>
      </c>
    </row>
    <row r="18" spans="1:28" x14ac:dyDescent="0.2">
      <c r="A18" s="44" t="s">
        <v>12</v>
      </c>
      <c r="B18" s="61">
        <f>+'Option 1, Step 1'!AB18</f>
        <v>591582.61952434352</v>
      </c>
      <c r="C18" s="61">
        <f>+'Option 2, Step 1'!M17</f>
        <v>608708.15830486605</v>
      </c>
      <c r="D18" s="61">
        <f>+'Option 3, Step 1'!M17</f>
        <v>557299.23531391856</v>
      </c>
      <c r="E18" s="61">
        <f>+'Option 4, Step 1'!N17</f>
        <v>839995.11952434352</v>
      </c>
      <c r="F18" s="44" t="s">
        <v>12</v>
      </c>
      <c r="G18" s="89">
        <f>+B18-'Step 2'!M18*'Option 1, Step 1'!AB18</f>
        <v>591582.61952434352</v>
      </c>
      <c r="H18" s="90">
        <f>+C18-'Step 2'!N18*'Option 2, Step 1'!M17</f>
        <v>608708.15830486605</v>
      </c>
      <c r="I18" s="90">
        <f>+D18-'Step 2'!O18*'Option 3, Step 1'!M17</f>
        <v>557299.23531391856</v>
      </c>
      <c r="J18" s="90">
        <f>+E18-'Step 2'!P18*'Option 4, Step 1'!N17</f>
        <v>839995.11952434352</v>
      </c>
      <c r="K18" s="44" t="s">
        <v>12</v>
      </c>
      <c r="L18" s="61">
        <f>+B18*'Step 3'!$E16</f>
        <v>121226.51782916898</v>
      </c>
      <c r="M18" s="61">
        <f>+C18*'Step 3'!$E16</f>
        <v>124735.86608213217</v>
      </c>
      <c r="N18" s="61">
        <f>+D18*'Step 3'!$E16</f>
        <v>114201.20107701192</v>
      </c>
      <c r="O18" s="61">
        <f>+E18*'Step 3'!$E16</f>
        <v>172130.95850467679</v>
      </c>
      <c r="P18" s="89">
        <f>+G18*'Step 3'!$E16</f>
        <v>121226.51782916898</v>
      </c>
      <c r="Q18" s="90">
        <f>+H18*'Step 3'!$E16</f>
        <v>124735.86608213217</v>
      </c>
      <c r="R18" s="90">
        <f>+I18*'Step 3'!$E16</f>
        <v>114201.20107701192</v>
      </c>
      <c r="S18" s="90">
        <f>+J18*'Step 3'!$E16</f>
        <v>172130.95850467679</v>
      </c>
      <c r="T18" s="44" t="s">
        <v>12</v>
      </c>
      <c r="U18" s="61">
        <f>+L18*'Step 4'!C18</f>
        <v>52975.988291346854</v>
      </c>
      <c r="V18" s="61">
        <f>+M18*'Step 4'!D18</f>
        <v>60871.102648080494</v>
      </c>
      <c r="W18" s="61">
        <f>+N18*'Step 4'!E18</f>
        <v>57793.856618265068</v>
      </c>
      <c r="X18" s="61">
        <f>+O18*'Step 4'!F18</f>
        <v>70401.562028412809</v>
      </c>
      <c r="Y18" s="89">
        <f>+P18*'Step 4'!C18</f>
        <v>52975.988291346854</v>
      </c>
      <c r="Z18" s="90">
        <f>+Q18*'Step 4'!D18</f>
        <v>60871.102648080494</v>
      </c>
      <c r="AA18" s="90">
        <f>+R18*'Step 4'!E18</f>
        <v>57793.856618265068</v>
      </c>
      <c r="AB18" s="90">
        <f>+S18*'Step 4'!F18</f>
        <v>70401.562028412809</v>
      </c>
    </row>
    <row r="19" spans="1:28" x14ac:dyDescent="0.2">
      <c r="A19" s="44" t="s">
        <v>13</v>
      </c>
      <c r="B19" s="61">
        <f>+'Option 1, Step 1'!AB19</f>
        <v>155503.73800586385</v>
      </c>
      <c r="C19" s="61">
        <f>+'Option 2, Step 1'!M18</f>
        <v>170565.56772609524</v>
      </c>
      <c r="D19" s="61">
        <f>+'Option 3, Step 1'!M18</f>
        <v>203623.78807789815</v>
      </c>
      <c r="E19" s="61">
        <f>+'Option 4, Step 1'!N18</f>
        <v>303616.23800586385</v>
      </c>
      <c r="F19" s="44" t="s">
        <v>13</v>
      </c>
      <c r="G19" s="89">
        <f>+B19-'Step 2'!M19*'Option 1, Step 1'!AB19</f>
        <v>155503.73800586385</v>
      </c>
      <c r="H19" s="90">
        <f>+C19-'Step 2'!N19*'Option 2, Step 1'!M18</f>
        <v>170449.05816405109</v>
      </c>
      <c r="I19" s="90">
        <f>+D19-'Step 2'!O19*'Option 3, Step 1'!M18</f>
        <v>203623.78807789815</v>
      </c>
      <c r="J19" s="90">
        <f>+E19-'Step 2'!P19*'Option 4, Step 1'!N18</f>
        <v>302522.52161558642</v>
      </c>
      <c r="K19" s="44" t="s">
        <v>13</v>
      </c>
      <c r="L19" s="61">
        <f>+B19*'Step 3'!$E17</f>
        <v>52871.270921993717</v>
      </c>
      <c r="M19" s="61">
        <f>+C19*'Step 3'!$E17</f>
        <v>57992.293026872387</v>
      </c>
      <c r="N19" s="61">
        <f>+D19*'Step 3'!$E17</f>
        <v>69232.087946485379</v>
      </c>
      <c r="O19" s="61">
        <f>+E19*'Step 3'!$E17</f>
        <v>103229.52092199372</v>
      </c>
      <c r="P19" s="89">
        <f>+G19*'Step 3'!$E17</f>
        <v>52871.270921993717</v>
      </c>
      <c r="Q19" s="90">
        <f>+H19*'Step 3'!$E17</f>
        <v>57952.679775777375</v>
      </c>
      <c r="R19" s="90">
        <f>+I19*'Step 3'!$E17</f>
        <v>69232.087946485379</v>
      </c>
      <c r="S19" s="90">
        <f>+J19*'Step 3'!$E17</f>
        <v>102857.65734929939</v>
      </c>
      <c r="T19" s="44" t="s">
        <v>13</v>
      </c>
      <c r="U19" s="61">
        <f>+L19*'Step 4'!C19</f>
        <v>25113.853687947016</v>
      </c>
      <c r="V19" s="61">
        <f>+M19*'Step 4'!D19</f>
        <v>23660.855554963935</v>
      </c>
      <c r="W19" s="61">
        <f>+N19*'Step 4'!E19</f>
        <v>33816.427803903651</v>
      </c>
      <c r="X19" s="61">
        <f>+O19*'Step 4'!F19</f>
        <v>38504.611303903657</v>
      </c>
      <c r="Y19" s="89">
        <f>+P19*'Step 4'!C19</f>
        <v>25113.853687947016</v>
      </c>
      <c r="Z19" s="90">
        <f>+Q19*'Step 4'!D19</f>
        <v>23644.693348517172</v>
      </c>
      <c r="AA19" s="90">
        <f>+R19*'Step 4'!E19</f>
        <v>33816.427803903651</v>
      </c>
      <c r="AB19" s="90">
        <f>+S19*'Step 4'!F19</f>
        <v>38365.906191288675</v>
      </c>
    </row>
    <row r="20" spans="1:28" x14ac:dyDescent="0.2">
      <c r="A20" s="44" t="s">
        <v>14</v>
      </c>
      <c r="B20" s="61">
        <f>+'Option 1, Step 1'!AB20</f>
        <v>3026647.6870478727</v>
      </c>
      <c r="C20" s="61">
        <f>+'Option 2, Step 1'!M19</f>
        <v>3191593.854235447</v>
      </c>
      <c r="D20" s="61">
        <f>+'Option 3, Step 1'!M19</f>
        <v>4115151.9130161675</v>
      </c>
      <c r="E20" s="61">
        <f>+'Option 4, Step 1'!N19</f>
        <v>5675027.6870478727</v>
      </c>
      <c r="F20" s="44" t="s">
        <v>14</v>
      </c>
      <c r="G20" s="89">
        <f>+B20-'Step 2'!M20*'Option 1, Step 1'!AB20</f>
        <v>2572650.5339906919</v>
      </c>
      <c r="H20" s="90">
        <f>+C20-'Step 2'!N20*'Option 2, Step 1'!M19</f>
        <v>2612381.8153631524</v>
      </c>
      <c r="I20" s="90">
        <f>+D20-'Step 2'!O20*'Option 3, Step 1'!M19</f>
        <v>2822503.1216231938</v>
      </c>
      <c r="J20" s="90">
        <f>+E20-'Step 2'!P20*'Option 4, Step 1'!N19</f>
        <v>3918323.5990227917</v>
      </c>
      <c r="K20" s="44" t="s">
        <v>14</v>
      </c>
      <c r="L20" s="61">
        <f>+B20*'Step 3'!$E18</f>
        <v>2421318.1496382984</v>
      </c>
      <c r="M20" s="61">
        <f>+C20*'Step 3'!$E18</f>
        <v>2553275.0833883579</v>
      </c>
      <c r="N20" s="61">
        <f>+D20*'Step 3'!$E18</f>
        <v>3292121.5304129343</v>
      </c>
      <c r="O20" s="61">
        <f>+E20*'Step 3'!$E18</f>
        <v>4540022.149638298</v>
      </c>
      <c r="P20" s="89">
        <f>+G20*'Step 3'!$E18</f>
        <v>2058120.4271925536</v>
      </c>
      <c r="Q20" s="90">
        <f>+H20*'Step 3'!$E18</f>
        <v>2089905.4522905219</v>
      </c>
      <c r="R20" s="90">
        <f>+I20*'Step 3'!$E18</f>
        <v>2258002.497298555</v>
      </c>
      <c r="S20" s="90">
        <f>+J20*'Step 3'!$E18</f>
        <v>3134658.8792182337</v>
      </c>
      <c r="T20" s="44" t="s">
        <v>14</v>
      </c>
      <c r="U20" s="61">
        <f>+L20*'Step 4'!C20</f>
        <v>1755455.6584877663</v>
      </c>
      <c r="V20" s="61">
        <f>+M20*'Step 4'!D20</f>
        <v>1823038.4095392874</v>
      </c>
      <c r="W20" s="61">
        <f>+N20*'Step 4'!E20</f>
        <v>2713983.7262431919</v>
      </c>
      <c r="X20" s="61">
        <f>+O20*'Step 4'!F20</f>
        <v>3223415.7262431914</v>
      </c>
      <c r="Y20" s="89">
        <f>+P20*'Step 4'!C20</f>
        <v>1492137.3097146014</v>
      </c>
      <c r="Z20" s="90">
        <f>+Q20*'Step 4'!D20</f>
        <v>1492192.4929354326</v>
      </c>
      <c r="AA20" s="90">
        <f>+R20*'Step 4'!E20</f>
        <v>1861468.9569847381</v>
      </c>
      <c r="AB20" s="90">
        <f>+S20*'Step 4'!F20</f>
        <v>2225607.8042449458</v>
      </c>
    </row>
    <row r="21" spans="1:28" x14ac:dyDescent="0.2">
      <c r="A21" s="44" t="s">
        <v>15</v>
      </c>
      <c r="B21" s="61">
        <f>+'Option 1, Step 1'!AB21</f>
        <v>85789.312231854405</v>
      </c>
      <c r="C21" s="61">
        <f>+'Option 2, Step 1'!M20</f>
        <v>92845.705247161837</v>
      </c>
      <c r="D21" s="61">
        <f>+'Option 3, Step 1'!M20</f>
        <v>98005.765725362988</v>
      </c>
      <c r="E21" s="61">
        <f>+'Option 4, Step 1'!N20</f>
        <v>169614.31223185454</v>
      </c>
      <c r="F21" s="44" t="s">
        <v>15</v>
      </c>
      <c r="G21" s="89">
        <f>+B21-'Step 2'!M21*'Option 1, Step 1'!AB21</f>
        <v>85789.312231854405</v>
      </c>
      <c r="H21" s="90">
        <f>+C21-'Step 2'!N21*'Option 2, Step 1'!M20</f>
        <v>92845.705247161837</v>
      </c>
      <c r="I21" s="90">
        <f>+D21-'Step 2'!O21*'Option 3, Step 1'!M20</f>
        <v>98005.765725362988</v>
      </c>
      <c r="J21" s="90">
        <f>+E21-'Step 2'!P21*'Option 4, Step 1'!N20</f>
        <v>169614.31223185454</v>
      </c>
      <c r="K21" s="44" t="s">
        <v>15</v>
      </c>
      <c r="L21" s="61">
        <f>+B21*'Step 3'!$E19</f>
        <v>6091.041168461662</v>
      </c>
      <c r="M21" s="61">
        <f>+C21*'Step 3'!$E19</f>
        <v>6592.0450725484898</v>
      </c>
      <c r="N21" s="61">
        <f>+D21*'Step 3'!$E19</f>
        <v>6958.4093665007713</v>
      </c>
      <c r="O21" s="61">
        <f>+E21*'Step 3'!$E19</f>
        <v>12042.616168461671</v>
      </c>
      <c r="P21" s="89">
        <f>+G21*'Step 3'!$E19</f>
        <v>6091.041168461662</v>
      </c>
      <c r="Q21" s="90">
        <f>+H21*'Step 3'!$E19</f>
        <v>6592.0450725484898</v>
      </c>
      <c r="R21" s="90">
        <f>+I21*'Step 3'!$E19</f>
        <v>6958.4093665007713</v>
      </c>
      <c r="S21" s="90">
        <f>+J21*'Step 3'!$E19</f>
        <v>12042.616168461671</v>
      </c>
      <c r="T21" s="44" t="s">
        <v>15</v>
      </c>
      <c r="U21" s="61">
        <f>+L21*'Step 4'!C21</f>
        <v>2661.7849906177466</v>
      </c>
      <c r="V21" s="61">
        <f>+M21*'Step 4'!D21</f>
        <v>3216.9179954036631</v>
      </c>
      <c r="W21" s="61">
        <f>+N21*'Step 4'!E21</f>
        <v>3927.55163790082</v>
      </c>
      <c r="X21" s="61">
        <f>+O21*'Step 4'!F21</f>
        <v>4925.4300129008234</v>
      </c>
      <c r="Y21" s="89">
        <f>+P21*'Step 4'!C21</f>
        <v>2661.7849906177466</v>
      </c>
      <c r="Z21" s="90">
        <f>+Q21*'Step 4'!D21</f>
        <v>3216.9179954036631</v>
      </c>
      <c r="AA21" s="90">
        <f>+R21*'Step 4'!E21</f>
        <v>3927.55163790082</v>
      </c>
      <c r="AB21" s="90">
        <f>+S21*'Step 4'!F21</f>
        <v>4925.4300129008234</v>
      </c>
    </row>
    <row r="22" spans="1:28" x14ac:dyDescent="0.2">
      <c r="A22" s="44" t="s">
        <v>16</v>
      </c>
      <c r="B22" s="61">
        <f>+'Option 1, Step 1'!AB22</f>
        <v>23503.81273735709</v>
      </c>
      <c r="C22" s="61">
        <f>+'Option 2, Step 1'!M21</f>
        <v>25792.489321363257</v>
      </c>
      <c r="D22" s="61">
        <f>+'Option 3, Step 1'!M21</f>
        <v>20103.17540078787</v>
      </c>
      <c r="E22" s="61">
        <f>+'Option 4, Step 1'!N21</f>
        <v>37453.81273735709</v>
      </c>
      <c r="F22" s="44" t="s">
        <v>16</v>
      </c>
      <c r="G22" s="89">
        <f>+B22-'Step 2'!M22*'Option 1, Step 1'!AB22</f>
        <v>23503.81273735709</v>
      </c>
      <c r="H22" s="90">
        <f>+C22-'Step 2'!N22*'Option 2, Step 1'!M21</f>
        <v>25792.489321363257</v>
      </c>
      <c r="I22" s="90">
        <f>+D22-'Step 2'!O22*'Option 3, Step 1'!M21</f>
        <v>20103.17540078787</v>
      </c>
      <c r="J22" s="90">
        <f>+E22-'Step 2'!P22*'Option 4, Step 1'!N21</f>
        <v>37453.81273735709</v>
      </c>
      <c r="K22" s="44" t="s">
        <v>16</v>
      </c>
      <c r="L22" s="61">
        <f>+B22*'Step 3'!$E20</f>
        <v>13867.249515040683</v>
      </c>
      <c r="M22" s="61">
        <f>+C22*'Step 3'!$E20</f>
        <v>15217.56869960432</v>
      </c>
      <c r="N22" s="61">
        <f>+D22*'Step 3'!$E20</f>
        <v>11860.873486464843</v>
      </c>
      <c r="O22" s="61">
        <f>+E22*'Step 3'!$E20</f>
        <v>22097.749515040683</v>
      </c>
      <c r="P22" s="89">
        <f>+G22*'Step 3'!$E20</f>
        <v>13867.249515040683</v>
      </c>
      <c r="Q22" s="90">
        <f>+H22*'Step 3'!$E20</f>
        <v>15217.56869960432</v>
      </c>
      <c r="R22" s="90">
        <f>+I22*'Step 3'!$E20</f>
        <v>11860.873486464843</v>
      </c>
      <c r="S22" s="90">
        <f>+J22*'Step 3'!$E20</f>
        <v>22097.749515040683</v>
      </c>
      <c r="T22" s="44" t="s">
        <v>16</v>
      </c>
      <c r="U22" s="61">
        <f>+L22*'Step 4'!C22</f>
        <v>2939.8568971886243</v>
      </c>
      <c r="V22" s="61">
        <f>+M22*'Step 4'!D22</f>
        <v>4382.6597854860447</v>
      </c>
      <c r="W22" s="61">
        <f>+N22*'Step 4'!E22</f>
        <v>4215.011880700009</v>
      </c>
      <c r="X22" s="61">
        <f>+O22*'Step 4'!F22</f>
        <v>5436.0463807000078</v>
      </c>
      <c r="Y22" s="89">
        <f>+P22*'Step 4'!C22</f>
        <v>2939.8568971886243</v>
      </c>
      <c r="Z22" s="90">
        <f>+Q22*'Step 4'!D22</f>
        <v>4382.6597854860447</v>
      </c>
      <c r="AA22" s="90">
        <f>+R22*'Step 4'!E22</f>
        <v>4215.011880700009</v>
      </c>
      <c r="AB22" s="90">
        <f>+S22*'Step 4'!F22</f>
        <v>5436.0463807000078</v>
      </c>
    </row>
    <row r="23" spans="1:28" x14ac:dyDescent="0.2">
      <c r="A23" s="44" t="s">
        <v>17</v>
      </c>
      <c r="B23" s="61">
        <f>+'Option 1, Step 1'!AB23</f>
        <v>100145.40959603533</v>
      </c>
      <c r="C23" s="61">
        <f>+'Option 2, Step 1'!M22</f>
        <v>104868.96821642808</v>
      </c>
      <c r="D23" s="61">
        <f>+'Option 3, Step 1'!M22</f>
        <v>99783.144705212428</v>
      </c>
      <c r="E23" s="61">
        <f>+'Option 4, Step 1'!N22</f>
        <v>143407.90959603532</v>
      </c>
      <c r="F23" s="44" t="s">
        <v>17</v>
      </c>
      <c r="G23" s="89">
        <f>+B23-'Step 2'!M23*'Option 1, Step 1'!AB23</f>
        <v>100145.40959603533</v>
      </c>
      <c r="H23" s="90">
        <f>+C23-'Step 2'!N23*'Option 2, Step 1'!M22</f>
        <v>104868.96821642808</v>
      </c>
      <c r="I23" s="90">
        <f>+D23-'Step 2'!O23*'Option 3, Step 1'!M22</f>
        <v>99783.144705212428</v>
      </c>
      <c r="J23" s="90">
        <f>+E23-'Step 2'!P23*'Option 4, Step 1'!N22</f>
        <v>143407.90959603532</v>
      </c>
      <c r="K23" s="44" t="s">
        <v>17</v>
      </c>
      <c r="L23" s="61">
        <f>+B23*'Step 3'!$E21</f>
        <v>11868.934054979238</v>
      </c>
      <c r="M23" s="61">
        <f>+C23*'Step 3'!$E21</f>
        <v>12428.756077740127</v>
      </c>
      <c r="N23" s="61">
        <f>+D23*'Step 3'!$E21</f>
        <v>11825.999504938898</v>
      </c>
      <c r="O23" s="61">
        <f>+E23*'Step 3'!$E21</f>
        <v>16996.276003300227</v>
      </c>
      <c r="P23" s="89">
        <f>+G23*'Step 3'!$E21</f>
        <v>11868.934054979238</v>
      </c>
      <c r="Q23" s="90">
        <f>+H23*'Step 3'!$E21</f>
        <v>12428.756077740127</v>
      </c>
      <c r="R23" s="90">
        <f>+I23*'Step 3'!$E21</f>
        <v>11825.999504938898</v>
      </c>
      <c r="S23" s="90">
        <f>+J23*'Step 3'!$E21</f>
        <v>16996.276003300227</v>
      </c>
      <c r="T23" s="44" t="s">
        <v>17</v>
      </c>
      <c r="U23" s="61">
        <f>+L23*'Step 4'!C23</f>
        <v>5186.7241820259278</v>
      </c>
      <c r="V23" s="61">
        <f>+M23*'Step 4'!D23</f>
        <v>6065.2329659371817</v>
      </c>
      <c r="W23" s="61">
        <f>+N23*'Step 4'!E23</f>
        <v>6027.6886790496546</v>
      </c>
      <c r="X23" s="61">
        <f>+O23*'Step 4'!F23</f>
        <v>6951.4768853497935</v>
      </c>
      <c r="Y23" s="89">
        <f>+P23*'Step 4'!C23</f>
        <v>5186.7241820259278</v>
      </c>
      <c r="Z23" s="90">
        <f>+Q23*'Step 4'!D23</f>
        <v>6065.2329659371817</v>
      </c>
      <c r="AA23" s="90">
        <f>+R23*'Step 4'!E23</f>
        <v>6027.6886790496546</v>
      </c>
      <c r="AB23" s="90">
        <f>+S23*'Step 4'!F23</f>
        <v>6951.4768853497935</v>
      </c>
    </row>
    <row r="24" spans="1:28" x14ac:dyDescent="0.2">
      <c r="A24" s="44" t="s">
        <v>18</v>
      </c>
      <c r="B24" s="61">
        <f>+'Option 1, Step 1'!AB24</f>
        <v>22587.280882292565</v>
      </c>
      <c r="C24" s="61">
        <f>+'Option 2, Step 1'!M23</f>
        <v>24967.925371063051</v>
      </c>
      <c r="D24" s="61">
        <f>+'Option 3, Step 1'!M23</f>
        <v>27575.148256009197</v>
      </c>
      <c r="E24" s="61">
        <f>+'Option 4, Step 1'!N23</f>
        <v>47537.280882292565</v>
      </c>
      <c r="F24" s="44" t="s">
        <v>18</v>
      </c>
      <c r="G24" s="89">
        <f>+B24-'Step 2'!M24*'Option 1, Step 1'!AB24</f>
        <v>22587.280882292565</v>
      </c>
      <c r="H24" s="90">
        <f>+C24-'Step 2'!N24*'Option 2, Step 1'!M23</f>
        <v>24967.925371063051</v>
      </c>
      <c r="I24" s="90">
        <f>+D24-'Step 2'!O24*'Option 3, Step 1'!M23</f>
        <v>27575.148256009197</v>
      </c>
      <c r="J24" s="90">
        <f>+E24-'Step 2'!P24*'Option 4, Step 1'!N23</f>
        <v>47537.280882292565</v>
      </c>
      <c r="K24" s="44" t="s">
        <v>18</v>
      </c>
      <c r="L24" s="61">
        <f>+B24*'Step 3'!$E22</f>
        <v>11316.227722028576</v>
      </c>
      <c r="M24" s="61">
        <f>+C24*'Step 3'!$E22</f>
        <v>12508.930610902589</v>
      </c>
      <c r="N24" s="61">
        <f>+D24*'Step 3'!$E22</f>
        <v>13815.149276260609</v>
      </c>
      <c r="O24" s="61">
        <f>+E24*'Step 3'!$E22</f>
        <v>23816.177722028577</v>
      </c>
      <c r="P24" s="89">
        <f>+G24*'Step 3'!$E22</f>
        <v>11316.227722028576</v>
      </c>
      <c r="Q24" s="90">
        <f>+H24*'Step 3'!$E22</f>
        <v>12508.930610902589</v>
      </c>
      <c r="R24" s="90">
        <f>+I24*'Step 3'!$E22</f>
        <v>13815.149276260609</v>
      </c>
      <c r="S24" s="90">
        <f>+J24*'Step 3'!$E22</f>
        <v>23816.177722028577</v>
      </c>
      <c r="T24" s="44" t="s">
        <v>18</v>
      </c>
      <c r="U24" s="61">
        <f>+L24*'Step 4'!C24</f>
        <v>2399.0402770700575</v>
      </c>
      <c r="V24" s="61">
        <f>+M24*'Step 4'!D24</f>
        <v>3602.5720159399461</v>
      </c>
      <c r="W24" s="61">
        <f>+N24*'Step 4'!E24</f>
        <v>4747.8748446190293</v>
      </c>
      <c r="X24" s="61">
        <f>+O24*'Step 4'!F24</f>
        <v>5858.7797196190295</v>
      </c>
      <c r="Y24" s="89">
        <f>+P24*'Step 4'!C24</f>
        <v>2399.0402770700575</v>
      </c>
      <c r="Z24" s="90">
        <f>+Q24*'Step 4'!D24</f>
        <v>3602.5720159399461</v>
      </c>
      <c r="AA24" s="90">
        <f>+R24*'Step 4'!E24</f>
        <v>4747.8748446190293</v>
      </c>
      <c r="AB24" s="90">
        <f>+S24*'Step 4'!F24</f>
        <v>5858.7797196190295</v>
      </c>
    </row>
    <row r="25" spans="1:28" x14ac:dyDescent="0.2">
      <c r="A25" s="44" t="s">
        <v>19</v>
      </c>
      <c r="B25" s="61">
        <f>+'Option 1, Step 1'!AB25</f>
        <v>1111003.5795630803</v>
      </c>
      <c r="C25" s="61">
        <f>+'Option 2, Step 1'!M24</f>
        <v>1191926.6113179128</v>
      </c>
      <c r="D25" s="61">
        <f>+'Option 3, Step 1'!M24</f>
        <v>1363005.3338557272</v>
      </c>
      <c r="E25" s="61">
        <f>+'Option 4, Step 1'!N24</f>
        <v>2220573.5795630803</v>
      </c>
      <c r="F25" s="44" t="s">
        <v>19</v>
      </c>
      <c r="G25" s="89">
        <f>+B25-'Step 2'!M25*'Option 1, Step 1'!AB25</f>
        <v>1111003.5795630803</v>
      </c>
      <c r="H25" s="90">
        <f>+C25-'Step 2'!N25*'Option 2, Step 1'!M24</f>
        <v>1153152.7217231041</v>
      </c>
      <c r="I25" s="90">
        <f>+D25-'Step 2'!O25*'Option 3, Step 1'!M24</f>
        <v>1031117.5083505873</v>
      </c>
      <c r="J25" s="90">
        <f>+E25-'Step 2'!P25*'Option 4, Step 1'!N24</f>
        <v>1774225.9937400343</v>
      </c>
      <c r="K25" s="44" t="s">
        <v>19</v>
      </c>
      <c r="L25" s="61">
        <f>+B25*'Step 3'!$E23</f>
        <v>852139.74552488269</v>
      </c>
      <c r="M25" s="61">
        <f>+C25*'Step 3'!$E23</f>
        <v>914207.71088083915</v>
      </c>
      <c r="N25" s="61">
        <f>+D25*'Step 3'!$E23</f>
        <v>1045425.0910673428</v>
      </c>
      <c r="O25" s="61">
        <f>+E25*'Step 3'!$E23</f>
        <v>1703179.9355248827</v>
      </c>
      <c r="P25" s="89">
        <f>+G25*'Step 3'!$E23</f>
        <v>852139.74552488269</v>
      </c>
      <c r="Q25" s="90">
        <f>+H25*'Step 3'!$E23</f>
        <v>884468.13756162091</v>
      </c>
      <c r="R25" s="90">
        <f>+I25*'Step 3'!$E23</f>
        <v>790867.12890490051</v>
      </c>
      <c r="S25" s="90">
        <f>+J25*'Step 3'!$E23</f>
        <v>1360831.3371986062</v>
      </c>
      <c r="T25" s="44" t="s">
        <v>19</v>
      </c>
      <c r="U25" s="61">
        <f>+L25*'Step 4'!C25</f>
        <v>404766.37912431924</v>
      </c>
      <c r="V25" s="61">
        <f>+M25*'Step 4'!D25</f>
        <v>372996.74603938241</v>
      </c>
      <c r="W25" s="61">
        <f>+N25*'Step 4'!E25</f>
        <v>515920.28365078126</v>
      </c>
      <c r="X25" s="61">
        <f>+O25*'Step 4'!F25</f>
        <v>635286.11595078127</v>
      </c>
      <c r="Y25" s="89">
        <f>+P25*'Step 4'!C25</f>
        <v>404766.37912431924</v>
      </c>
      <c r="Z25" s="90">
        <f>+Q25*'Step 4'!D25</f>
        <v>360863.00012514135</v>
      </c>
      <c r="AA25" s="90">
        <f>+R25*'Step 4'!E25</f>
        <v>390295.1985379617</v>
      </c>
      <c r="AB25" s="90">
        <f>+S25*'Step 4'!F25</f>
        <v>507590.0887750801</v>
      </c>
    </row>
    <row r="26" spans="1:28" x14ac:dyDescent="0.2">
      <c r="A26" s="44" t="s">
        <v>20</v>
      </c>
      <c r="B26" s="61">
        <f>+'Option 1, Step 1'!AB26</f>
        <v>2090946.504283377</v>
      </c>
      <c r="C26" s="61">
        <f>+'Option 2, Step 1'!M25</f>
        <v>2174969.9595376076</v>
      </c>
      <c r="D26" s="61">
        <f>+'Option 3, Step 1'!M25</f>
        <v>2222913.1331960848</v>
      </c>
      <c r="E26" s="61">
        <f>+'Option 4, Step 1'!N25</f>
        <v>3347071.504283377</v>
      </c>
      <c r="F26" s="44" t="s">
        <v>20</v>
      </c>
      <c r="G26" s="89">
        <f>+B26-'Step 2'!M26*'Option 1, Step 1'!AB26</f>
        <v>0</v>
      </c>
      <c r="H26" s="90">
        <f>+C26-'Step 2'!N26*'Option 2, Step 1'!M25</f>
        <v>0</v>
      </c>
      <c r="I26" s="90">
        <f>+D26-'Step 2'!O26*'Option 3, Step 1'!M25</f>
        <v>0</v>
      </c>
      <c r="J26" s="90">
        <f>+E26-'Step 2'!P26*'Option 4, Step 1'!N25</f>
        <v>0</v>
      </c>
      <c r="K26" s="44" t="s">
        <v>20</v>
      </c>
      <c r="L26" s="61">
        <f>+B26*'Step 3'!$E24</f>
        <v>265550.20604398887</v>
      </c>
      <c r="M26" s="61">
        <f>+C26*'Step 3'!$E24</f>
        <v>276221.18486127618</v>
      </c>
      <c r="N26" s="61">
        <f>+D26*'Step 3'!$E24</f>
        <v>282309.96791590279</v>
      </c>
      <c r="O26" s="61">
        <f>+E26*'Step 3'!$E24</f>
        <v>425078.08104398887</v>
      </c>
      <c r="P26" s="89">
        <f>+G26*'Step 3'!$E24</f>
        <v>0</v>
      </c>
      <c r="Q26" s="90">
        <f>+H26*'Step 3'!$E24</f>
        <v>0</v>
      </c>
      <c r="R26" s="90">
        <f>+I26*'Step 3'!$E24</f>
        <v>0</v>
      </c>
      <c r="S26" s="90">
        <f>+J26*'Step 3'!$E24</f>
        <v>0</v>
      </c>
      <c r="T26" s="44" t="s">
        <v>20</v>
      </c>
      <c r="U26" s="61">
        <f>+L26*'Step 4'!C26</f>
        <v>116045.44004122315</v>
      </c>
      <c r="V26" s="61">
        <f>+M26*'Step 4'!D26</f>
        <v>134795.93821230278</v>
      </c>
      <c r="W26" s="61">
        <f>+N26*'Step 4'!E26</f>
        <v>135770.88927199147</v>
      </c>
      <c r="X26" s="61">
        <f>+O26*'Step 4'!F26</f>
        <v>173856.93514699145</v>
      </c>
      <c r="Y26" s="89">
        <f>+P26*'Step 4'!C26</f>
        <v>0</v>
      </c>
      <c r="Z26" s="90">
        <f>+Q26*'Step 4'!D26</f>
        <v>0</v>
      </c>
      <c r="AA26" s="90">
        <f>+R26*'Step 4'!E26</f>
        <v>0</v>
      </c>
      <c r="AB26" s="90">
        <f>+S26*'Step 4'!F26</f>
        <v>0</v>
      </c>
    </row>
    <row r="27" spans="1:28" x14ac:dyDescent="0.2">
      <c r="A27" s="44" t="s">
        <v>21</v>
      </c>
      <c r="B27" s="61">
        <f>+'Option 1, Step 1'!AB27</f>
        <v>511320.18075176183</v>
      </c>
      <c r="C27" s="61">
        <f>+'Option 2, Step 1'!M26</f>
        <v>531189.041368203</v>
      </c>
      <c r="D27" s="61">
        <f>+'Option 3, Step 1'!M26</f>
        <v>558238.01516922843</v>
      </c>
      <c r="E27" s="61">
        <f>+'Option 4, Step 1'!N26</f>
        <v>848582.68075176189</v>
      </c>
      <c r="F27" s="44" t="s">
        <v>21</v>
      </c>
      <c r="G27" s="89">
        <f>+B27-'Step 2'!M27*'Option 1, Step 1'!AB27</f>
        <v>434622.15363899758</v>
      </c>
      <c r="H27" s="90">
        <f>+C27-'Step 2'!N27*'Option 2, Step 1'!M26</f>
        <v>447125.93882258929</v>
      </c>
      <c r="I27" s="90">
        <f>+D27-'Step 2'!O27*'Option 3, Step 1'!M26</f>
        <v>397357.55257285549</v>
      </c>
      <c r="J27" s="90">
        <f>+E27-'Step 2'!P27*'Option 4, Step 1'!N26</f>
        <v>658156.2042297154</v>
      </c>
      <c r="K27" s="44" t="s">
        <v>21</v>
      </c>
      <c r="L27" s="61">
        <f>+B27*'Step 3'!$E25</f>
        <v>377865.61357555207</v>
      </c>
      <c r="M27" s="61">
        <f>+C27*'Step 3'!$E25</f>
        <v>392548.70157110208</v>
      </c>
      <c r="N27" s="61">
        <f>+D27*'Step 3'!$E25</f>
        <v>412537.89321005985</v>
      </c>
      <c r="O27" s="61">
        <f>+E27*'Step 3'!$E25</f>
        <v>627102.60107555217</v>
      </c>
      <c r="P27" s="89">
        <f>+G27*'Step 3'!$E25</f>
        <v>321185.77153921925</v>
      </c>
      <c r="Q27" s="90">
        <f>+H27*'Step 3'!$E25</f>
        <v>330426.06878989353</v>
      </c>
      <c r="R27" s="90">
        <f>+I27*'Step 3'!$E25</f>
        <v>293647.23135134025</v>
      </c>
      <c r="S27" s="90">
        <f>+J27*'Step 3'!$E25</f>
        <v>486377.43492575974</v>
      </c>
      <c r="T27" s="44" t="s">
        <v>21</v>
      </c>
      <c r="U27" s="61">
        <f>+L27*'Step 4'!C27</f>
        <v>266395.25757076422</v>
      </c>
      <c r="V27" s="61">
        <f>+M27*'Step 4'!D27</f>
        <v>308543.27943488624</v>
      </c>
      <c r="W27" s="61">
        <f>+N27*'Step 4'!E27</f>
        <v>381670.62329079304</v>
      </c>
      <c r="X27" s="61">
        <f>+O27*'Step 4'!F27</f>
        <v>446497.05196579313</v>
      </c>
      <c r="Y27" s="89">
        <f>+P27*'Step 4'!C27</f>
        <v>226435.96893514961</v>
      </c>
      <c r="Z27" s="90">
        <f>+Q27*'Step 4'!D27</f>
        <v>259714.89006885633</v>
      </c>
      <c r="AA27" s="90">
        <f>+R27*'Step 4'!E27</f>
        <v>271675.70218916493</v>
      </c>
      <c r="AB27" s="90">
        <f>+S27*'Step 4'!F27</f>
        <v>346300.73366714094</v>
      </c>
    </row>
    <row r="28" spans="1:28" x14ac:dyDescent="0.2">
      <c r="A28" s="44" t="s">
        <v>22</v>
      </c>
      <c r="B28" s="61">
        <f>+'Option 1, Step 1'!AB28</f>
        <v>830135.20098099532</v>
      </c>
      <c r="C28" s="61">
        <f>+'Option 2, Step 1'!M27</f>
        <v>881292.48666280217</v>
      </c>
      <c r="D28" s="61">
        <f>+'Option 3, Step 1'!M27</f>
        <v>1400118.0266025318</v>
      </c>
      <c r="E28" s="61">
        <f>+'Option 4, Step 1'!N27</f>
        <v>1702597.7009809953</v>
      </c>
      <c r="F28" s="44" t="s">
        <v>22</v>
      </c>
      <c r="G28" s="89">
        <f>+B28-'Step 2'!M28*'Option 1, Step 1'!AB28</f>
        <v>830135.20098099532</v>
      </c>
      <c r="H28" s="90">
        <f>+C28-'Step 2'!N28*'Option 2, Step 1'!M27</f>
        <v>881292.48666280217</v>
      </c>
      <c r="I28" s="90">
        <f>+D28-'Step 2'!O28*'Option 3, Step 1'!M27</f>
        <v>1400118.0266025318</v>
      </c>
      <c r="J28" s="90">
        <f>+E28-'Step 2'!P28*'Option 4, Step 1'!N27</f>
        <v>1702597.7009809953</v>
      </c>
      <c r="K28" s="44" t="s">
        <v>22</v>
      </c>
      <c r="L28" s="61">
        <f>+B28*'Step 3'!$E26</f>
        <v>190931.09622562892</v>
      </c>
      <c r="M28" s="61">
        <f>+C28*'Step 3'!$E26</f>
        <v>202697.27193244451</v>
      </c>
      <c r="N28" s="61">
        <f>+D28*'Step 3'!$E26</f>
        <v>322027.14611858234</v>
      </c>
      <c r="O28" s="61">
        <f>+E28*'Step 3'!$E26</f>
        <v>391597.47122562892</v>
      </c>
      <c r="P28" s="89">
        <f>+G28*'Step 3'!$E26</f>
        <v>190931.09622562892</v>
      </c>
      <c r="Q28" s="90">
        <f>+H28*'Step 3'!$E26</f>
        <v>202697.27193244451</v>
      </c>
      <c r="R28" s="90">
        <f>+I28*'Step 3'!$E26</f>
        <v>322027.14611858234</v>
      </c>
      <c r="S28" s="90">
        <f>+J28*'Step 3'!$E26</f>
        <v>391597.47122562892</v>
      </c>
      <c r="T28" s="44" t="s">
        <v>22</v>
      </c>
      <c r="U28" s="61">
        <f>+L28*'Step 4'!C28</f>
        <v>83436.889050599842</v>
      </c>
      <c r="V28" s="61">
        <f>+M28*'Step 4'!D28</f>
        <v>98916.268703032911</v>
      </c>
      <c r="W28" s="61">
        <f>+N28*'Step 4'!E28</f>
        <v>154322.55885628227</v>
      </c>
      <c r="X28" s="61">
        <f>+O28*'Step 4'!F28</f>
        <v>160163.36573128225</v>
      </c>
      <c r="Y28" s="89">
        <f>+P28*'Step 4'!C28</f>
        <v>83436.889050599842</v>
      </c>
      <c r="Z28" s="90">
        <f>+Q28*'Step 4'!D28</f>
        <v>98916.268703032911</v>
      </c>
      <c r="AA28" s="90">
        <f>+R28*'Step 4'!E28</f>
        <v>154322.55885628227</v>
      </c>
      <c r="AB28" s="90">
        <f>+S28*'Step 4'!F28</f>
        <v>160163.36573128225</v>
      </c>
    </row>
    <row r="29" spans="1:28" x14ac:dyDescent="0.2">
      <c r="A29" s="44" t="s">
        <v>23</v>
      </c>
      <c r="B29" s="61">
        <f>+'Option 1, Step 1'!AB29</f>
        <v>672674.02012632473</v>
      </c>
      <c r="C29" s="61">
        <f>+'Option 2, Step 1'!M28</f>
        <v>692467.88746658759</v>
      </c>
      <c r="D29" s="61">
        <f>+'Option 3, Step 1'!M28</f>
        <v>710764.82650085608</v>
      </c>
      <c r="E29" s="61">
        <f>+'Option 4, Step 1'!N28</f>
        <v>920711.52012632473</v>
      </c>
      <c r="F29" s="44" t="s">
        <v>23</v>
      </c>
      <c r="G29" s="89">
        <f>+B29-'Step 2'!M29*'Option 1, Step 1'!AB29</f>
        <v>672674.02012632473</v>
      </c>
      <c r="H29" s="90">
        <f>+C29-'Step 2'!N29*'Option 2, Step 1'!M28</f>
        <v>669912.68333586876</v>
      </c>
      <c r="I29" s="90">
        <f>+D29-'Step 2'!O29*'Option 3, Step 1'!M28</f>
        <v>493725.76073546516</v>
      </c>
      <c r="J29" s="90">
        <f>+E29-'Step 2'!P29*'Option 4, Step 1'!N28</f>
        <v>701817.39233552129</v>
      </c>
      <c r="K29" s="44" t="s">
        <v>23</v>
      </c>
      <c r="L29" s="61">
        <f>+B29*'Step 3'!$E27</f>
        <v>441411.55938202608</v>
      </c>
      <c r="M29" s="61">
        <f>+C29*'Step 3'!$E27</f>
        <v>454400.37950507109</v>
      </c>
      <c r="N29" s="61">
        <f>+D29*'Step 3'!$E27</f>
        <v>466406.90889283846</v>
      </c>
      <c r="O29" s="61">
        <f>+E29*'Step 3'!$E27</f>
        <v>604174.82417952525</v>
      </c>
      <c r="P29" s="89">
        <f>+G29*'Step 3'!$E27</f>
        <v>441411.55938202608</v>
      </c>
      <c r="Q29" s="90">
        <f>+H29*'Step 3'!$E27</f>
        <v>439599.55840951164</v>
      </c>
      <c r="R29" s="90">
        <f>+I29*'Step 3'!$E27</f>
        <v>323984.9487756216</v>
      </c>
      <c r="S29" s="90">
        <f>+J29*'Step 3'!$E27</f>
        <v>460535.56445374928</v>
      </c>
      <c r="T29" s="44" t="s">
        <v>23</v>
      </c>
      <c r="U29" s="61">
        <f>+L29*'Step 4'!C29</f>
        <v>210994.72538460846</v>
      </c>
      <c r="V29" s="61">
        <f>+M29*'Step 4'!D29</f>
        <v>227200.18975253555</v>
      </c>
      <c r="W29" s="61">
        <f>+N29*'Step 4'!E29</f>
        <v>245983.885503659</v>
      </c>
      <c r="X29" s="61">
        <f>+O29*'Step 4'!F29</f>
        <v>261607.69886973448</v>
      </c>
      <c r="Y29" s="89">
        <f>+P29*'Step 4'!C29</f>
        <v>210994.72538460846</v>
      </c>
      <c r="Z29" s="90">
        <f>+Q29*'Step 4'!D29</f>
        <v>219799.77920475582</v>
      </c>
      <c r="AA29" s="90">
        <f>+R29*'Step 4'!E29</f>
        <v>170870.27448566814</v>
      </c>
      <c r="AB29" s="90">
        <f>+S29*'Step 4'!F29</f>
        <v>199411.89940847346</v>
      </c>
    </row>
    <row r="30" spans="1:28" x14ac:dyDescent="0.2">
      <c r="A30" s="44" t="s">
        <v>24</v>
      </c>
      <c r="B30" s="61">
        <f>+'Option 1, Step 1'!AB30</f>
        <v>123831.63741568176</v>
      </c>
      <c r="C30" s="61">
        <f>+'Option 2, Step 1'!M29</f>
        <v>128408.35310801878</v>
      </c>
      <c r="D30" s="61">
        <f>+'Option 3, Step 1'!M29</f>
        <v>137693.45021664651</v>
      </c>
      <c r="E30" s="61">
        <f>+'Option 4, Step 1'!N29</f>
        <v>189881.63741568176</v>
      </c>
      <c r="F30" s="44" t="s">
        <v>24</v>
      </c>
      <c r="G30" s="89">
        <f>+B30-'Step 2'!M30*'Option 1, Step 1'!AB30</f>
        <v>123831.63741568176</v>
      </c>
      <c r="H30" s="90">
        <f>+C30-'Step 2'!N30*'Option 2, Step 1'!M29</f>
        <v>124255.19123792653</v>
      </c>
      <c r="I30" s="90">
        <f>+D30-'Step 2'!O30*'Option 3, Step 1'!M29</f>
        <v>99081.100843764987</v>
      </c>
      <c r="J30" s="90">
        <f>+E30-'Step 2'!P30*'Option 4, Step 1'!N29</f>
        <v>146234.43475392583</v>
      </c>
      <c r="K30" s="44" t="s">
        <v>24</v>
      </c>
      <c r="L30" s="61">
        <f>+B30*'Step 3'!$E28</f>
        <v>87796.630927718375</v>
      </c>
      <c r="M30" s="61">
        <f>+C30*'Step 3'!$E28</f>
        <v>91041.522353585329</v>
      </c>
      <c r="N30" s="61">
        <f>+D30*'Step 3'!$E28</f>
        <v>97624.656203602382</v>
      </c>
      <c r="O30" s="61">
        <f>+E30*'Step 3'!$E28</f>
        <v>134626.08092771837</v>
      </c>
      <c r="P30" s="89">
        <f>+G30*'Step 3'!$E28</f>
        <v>87796.630927718375</v>
      </c>
      <c r="Q30" s="90">
        <f>+H30*'Step 3'!$E28</f>
        <v>88096.930587689916</v>
      </c>
      <c r="R30" s="90">
        <f>+I30*'Step 3'!$E28</f>
        <v>70248.50049822939</v>
      </c>
      <c r="S30" s="90">
        <f>+J30*'Step 3'!$E28</f>
        <v>103680.21424053343</v>
      </c>
      <c r="T30" s="44" t="s">
        <v>24</v>
      </c>
      <c r="U30" s="61">
        <f>+L30*'Step 4'!C30</f>
        <v>38367.127715412935</v>
      </c>
      <c r="V30" s="61">
        <f>+M30*'Step 4'!D30</f>
        <v>44428.262908549637</v>
      </c>
      <c r="W30" s="61">
        <f>+N30*'Step 4'!E30</f>
        <v>45715.497349436817</v>
      </c>
      <c r="X30" s="61">
        <f>+O30*'Step 4'!F30</f>
        <v>55062.067099436819</v>
      </c>
      <c r="Y30" s="89">
        <f>+P30*'Step 4'!C30</f>
        <v>38367.127715412935</v>
      </c>
      <c r="Z30" s="90">
        <f>+Q30*'Step 4'!D30</f>
        <v>42991.302126792682</v>
      </c>
      <c r="AA30" s="90">
        <f>+R30*'Step 4'!E30</f>
        <v>32895.840694496736</v>
      </c>
      <c r="AB30" s="90">
        <f>+S30*'Step 4'!F30</f>
        <v>42405.207624378178</v>
      </c>
    </row>
    <row r="31" spans="1:28" x14ac:dyDescent="0.2">
      <c r="A31" s="44" t="s">
        <v>25</v>
      </c>
      <c r="B31" s="61">
        <f>+'Option 1, Step 1'!AB31</f>
        <v>340761.23003991682</v>
      </c>
      <c r="C31" s="61">
        <f>+'Option 2, Step 1'!M30</f>
        <v>352141.83348534262</v>
      </c>
      <c r="D31" s="61">
        <f>+'Option 3, Step 1'!M30</f>
        <v>495119.17445007944</v>
      </c>
      <c r="E31" s="61">
        <f>+'Option 4, Step 1'!N30</f>
        <v>626838.73003991682</v>
      </c>
      <c r="F31" s="44" t="s">
        <v>25</v>
      </c>
      <c r="G31" s="89">
        <f>+B31-'Step 2'!M31*'Option 1, Step 1'!AB31</f>
        <v>340761.23003991682</v>
      </c>
      <c r="H31" s="90">
        <f>+C31-'Step 2'!N31*'Option 2, Step 1'!M30</f>
        <v>352141.83348534262</v>
      </c>
      <c r="I31" s="90">
        <f>+D31-'Step 2'!O31*'Option 3, Step 1'!M30</f>
        <v>495119.17445007944</v>
      </c>
      <c r="J31" s="90">
        <f>+E31-'Step 2'!P31*'Option 4, Step 1'!N30</f>
        <v>626838.73003991682</v>
      </c>
      <c r="K31" s="44" t="s">
        <v>25</v>
      </c>
      <c r="L31" s="61">
        <f>+B31*'Step 3'!$E29</f>
        <v>36461.4516142711</v>
      </c>
      <c r="M31" s="61">
        <f>+C31*'Step 3'!$E29</f>
        <v>37679.17618293166</v>
      </c>
      <c r="N31" s="61">
        <f>+D31*'Step 3'!$E29</f>
        <v>52977.751666158496</v>
      </c>
      <c r="O31" s="61">
        <f>+E31*'Step 3'!$E29</f>
        <v>67071.744114271103</v>
      </c>
      <c r="P31" s="89">
        <f>+G31*'Step 3'!$E29</f>
        <v>36461.4516142711</v>
      </c>
      <c r="Q31" s="90">
        <f>+H31*'Step 3'!$E29</f>
        <v>37679.17618293166</v>
      </c>
      <c r="R31" s="90">
        <f>+I31*'Step 3'!$E29</f>
        <v>52977.751666158496</v>
      </c>
      <c r="S31" s="90">
        <f>+J31*'Step 3'!$E29</f>
        <v>67071.744114271103</v>
      </c>
      <c r="T31" s="44" t="s">
        <v>25</v>
      </c>
      <c r="U31" s="61">
        <f>+L31*'Step 4'!C31</f>
        <v>15933.654355436473</v>
      </c>
      <c r="V31" s="61">
        <f>+M31*'Step 4'!D31</f>
        <v>18387.437977270649</v>
      </c>
      <c r="W31" s="61">
        <f>+N31*'Step 4'!E31</f>
        <v>24146.647530236882</v>
      </c>
      <c r="X31" s="61">
        <f>+O31*'Step 4'!F31</f>
        <v>27432.343342736884</v>
      </c>
      <c r="Y31" s="89">
        <f>+P31*'Step 4'!C31</f>
        <v>15933.654355436473</v>
      </c>
      <c r="Z31" s="90">
        <f>+Q31*'Step 4'!D31</f>
        <v>18387.437977270649</v>
      </c>
      <c r="AA31" s="90">
        <f>+R31*'Step 4'!E31</f>
        <v>24146.647530236882</v>
      </c>
      <c r="AB31" s="90">
        <f>+S31*'Step 4'!F31</f>
        <v>27432.343342736884</v>
      </c>
    </row>
    <row r="33" spans="1:38" x14ac:dyDescent="0.2">
      <c r="AD33" s="43" t="s">
        <v>285</v>
      </c>
    </row>
    <row r="34" spans="1:38" x14ac:dyDescent="0.2">
      <c r="AD34" s="79"/>
      <c r="AE34" s="200" t="s">
        <v>386</v>
      </c>
      <c r="AF34" s="201"/>
      <c r="AG34" s="201"/>
      <c r="AH34" s="201"/>
      <c r="AI34" s="200" t="s">
        <v>387</v>
      </c>
      <c r="AJ34" s="201"/>
      <c r="AK34" s="201"/>
      <c r="AL34" s="206"/>
    </row>
    <row r="35" spans="1:38" x14ac:dyDescent="0.2">
      <c r="AD35" s="79"/>
      <c r="AE35" s="75" t="s">
        <v>282</v>
      </c>
      <c r="AF35" s="76" t="s">
        <v>264</v>
      </c>
      <c r="AG35" s="77" t="s">
        <v>265</v>
      </c>
      <c r="AH35" s="77" t="s">
        <v>266</v>
      </c>
      <c r="AI35" s="75" t="s">
        <v>282</v>
      </c>
      <c r="AJ35" s="76" t="s">
        <v>264</v>
      </c>
      <c r="AK35" s="77" t="s">
        <v>265</v>
      </c>
      <c r="AL35" s="78" t="s">
        <v>266</v>
      </c>
    </row>
    <row r="36" spans="1:38" x14ac:dyDescent="0.2">
      <c r="AD36" s="79" t="s">
        <v>283</v>
      </c>
      <c r="AE36" s="80">
        <f>+B4/1000000</f>
        <v>20.526740975000003</v>
      </c>
      <c r="AF36" s="80">
        <f>+C4/1000000</f>
        <v>21.724185758899896</v>
      </c>
      <c r="AG36" s="80">
        <f>+D4/1000000</f>
        <v>24.123437864076262</v>
      </c>
      <c r="AH36" s="80">
        <f>+E4/1000000</f>
        <v>35.13749197500001</v>
      </c>
      <c r="AI36" s="115">
        <f>+AE36</f>
        <v>20.526740975000003</v>
      </c>
      <c r="AJ36" s="116">
        <f t="shared" ref="AJ36:AL36" si="2">+AF36</f>
        <v>21.724185758899896</v>
      </c>
      <c r="AK36" s="116">
        <f t="shared" si="2"/>
        <v>24.123437864076262</v>
      </c>
      <c r="AL36" s="116">
        <f t="shared" si="2"/>
        <v>35.13749197500001</v>
      </c>
    </row>
    <row r="37" spans="1:38" x14ac:dyDescent="0.2">
      <c r="AD37" s="79" t="s">
        <v>284</v>
      </c>
      <c r="AE37" s="80">
        <f>+AE36</f>
        <v>20.526740975000003</v>
      </c>
      <c r="AF37" s="80">
        <f t="shared" ref="AF37:AH37" si="3">+AF36</f>
        <v>21.724185758899896</v>
      </c>
      <c r="AG37" s="80">
        <f t="shared" si="3"/>
        <v>24.123437864076262</v>
      </c>
      <c r="AH37" s="80">
        <f t="shared" si="3"/>
        <v>35.13749197500001</v>
      </c>
      <c r="AI37" s="115">
        <f>+G4/1000000</f>
        <v>16.290030852595002</v>
      </c>
      <c r="AJ37" s="116">
        <f>+H4/1000000</f>
        <v>17.03379196740179</v>
      </c>
      <c r="AK37" s="116">
        <f>+I4/1000000</f>
        <v>17.54685423572332</v>
      </c>
      <c r="AL37" s="116">
        <f>+J4/1000000</f>
        <v>26.35292596552792</v>
      </c>
    </row>
    <row r="38" spans="1:38" x14ac:dyDescent="0.2">
      <c r="AD38" s="79" t="s">
        <v>344</v>
      </c>
      <c r="AE38" s="66">
        <f t="shared" ref="AE38:AL38" si="4">+L4/1000000</f>
        <v>12.214867348343144</v>
      </c>
      <c r="AF38" s="66">
        <f t="shared" si="4"/>
        <v>12.929015494611059</v>
      </c>
      <c r="AG38" s="66">
        <f t="shared" si="4"/>
        <v>14.179180675749011</v>
      </c>
      <c r="AH38" s="66">
        <f t="shared" si="4"/>
        <v>21.032863987229149</v>
      </c>
      <c r="AI38" s="113">
        <f t="shared" si="4"/>
        <v>10.447480695590523</v>
      </c>
      <c r="AJ38" s="114">
        <f t="shared" si="4"/>
        <v>10.895122691302916</v>
      </c>
      <c r="AK38" s="114">
        <f t="shared" si="4"/>
        <v>10.79827424761314</v>
      </c>
      <c r="AL38" s="114">
        <f t="shared" si="4"/>
        <v>16.691831581221724</v>
      </c>
    </row>
    <row r="39" spans="1:38" x14ac:dyDescent="0.2">
      <c r="AD39" s="79" t="s">
        <v>345</v>
      </c>
      <c r="AE39" s="66">
        <f t="shared" ref="AE39:AL39" si="5">+U4/1000000</f>
        <v>6.7648100073250683</v>
      </c>
      <c r="AF39" s="66">
        <f t="shared" si="5"/>
        <v>7.031101898010105</v>
      </c>
      <c r="AG39" s="66">
        <f t="shared" si="5"/>
        <v>9.2517756186764686</v>
      </c>
      <c r="AH39" s="66">
        <f t="shared" si="5"/>
        <v>10.942381491413251</v>
      </c>
      <c r="AI39" s="113">
        <f t="shared" si="5"/>
        <v>5.6619135103555074</v>
      </c>
      <c r="AJ39" s="114">
        <f t="shared" si="5"/>
        <v>5.8570054673747478</v>
      </c>
      <c r="AK39" s="114">
        <f t="shared" si="5"/>
        <v>6.8758762483972973</v>
      </c>
      <c r="AL39" s="114">
        <f t="shared" si="5"/>
        <v>8.4917023719145668</v>
      </c>
    </row>
    <row r="41" spans="1:38" ht="25.5" x14ac:dyDescent="0.2">
      <c r="AD41" s="194" t="s">
        <v>460</v>
      </c>
      <c r="AE41" s="60">
        <v>0</v>
      </c>
      <c r="AF41" s="60">
        <v>0</v>
      </c>
      <c r="AG41" s="60">
        <v>0</v>
      </c>
      <c r="AH41" s="60">
        <v>0</v>
      </c>
      <c r="AI41" s="195">
        <f>+'Nrs losing rights'!N4/1000000</f>
        <v>0.12981181964138128</v>
      </c>
      <c r="AJ41" s="195">
        <f>+'Nrs losing rights'!O4/1000000</f>
        <v>0.11227666573238153</v>
      </c>
      <c r="AK41" s="195">
        <f>+'Nrs losing rights'!P4/1000000</f>
        <v>0.44878192534332023</v>
      </c>
      <c r="AL41" s="60">
        <v>0</v>
      </c>
    </row>
    <row r="42" spans="1:38" x14ac:dyDescent="0.2">
      <c r="A42" s="43"/>
      <c r="B42" s="43"/>
      <c r="C42" s="43"/>
      <c r="D42" s="43"/>
      <c r="E42" s="43"/>
      <c r="F42" s="43"/>
    </row>
    <row r="43" spans="1:38" x14ac:dyDescent="0.2">
      <c r="A43" s="43"/>
      <c r="B43" s="43"/>
      <c r="C43" s="43"/>
      <c r="D43" s="43"/>
      <c r="E43" s="43"/>
      <c r="F43" s="43"/>
    </row>
    <row r="44" spans="1:38" x14ac:dyDescent="0.2">
      <c r="A44" s="43"/>
      <c r="B44" s="43"/>
      <c r="C44" s="43"/>
      <c r="D44" s="43"/>
      <c r="E44" s="43"/>
      <c r="F44" s="43"/>
    </row>
    <row r="45" spans="1:38" x14ac:dyDescent="0.2">
      <c r="A45" s="43"/>
      <c r="B45" s="43"/>
      <c r="C45" s="43"/>
      <c r="D45" s="43"/>
      <c r="E45" s="43"/>
      <c r="F45" s="43"/>
    </row>
  </sheetData>
  <mergeCells count="10">
    <mergeCell ref="L1:S1"/>
    <mergeCell ref="U1:AB1"/>
    <mergeCell ref="U2:X2"/>
    <mergeCell ref="Y2:AB2"/>
    <mergeCell ref="B2:E2"/>
    <mergeCell ref="G2:J2"/>
    <mergeCell ref="AE34:AH34"/>
    <mergeCell ref="AI34:AL34"/>
    <mergeCell ref="L2:O2"/>
    <mergeCell ref="P2:S2"/>
  </mergeCells>
  <pageMargins left="0.7" right="0.7" top="0.75" bottom="0.75" header="0.3" footer="0.3"/>
  <pageSetup orientation="portrait" horizontalDpi="1200" verticalDpi="12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P31"/>
  <sheetViews>
    <sheetView workbookViewId="0">
      <selection activeCell="G1" sqref="G1:P31"/>
    </sheetView>
  </sheetViews>
  <sheetFormatPr defaultColWidth="9.140625" defaultRowHeight="12.75" x14ac:dyDescent="0.2"/>
  <cols>
    <col min="1" max="1" width="4.42578125" style="43" customWidth="1"/>
    <col min="2" max="5" width="10.140625" style="43" customWidth="1"/>
    <col min="6" max="6" width="9.140625" style="43"/>
    <col min="7" max="7" width="4.42578125" style="43" customWidth="1"/>
    <col min="8" max="10" width="10.140625" style="43" customWidth="1"/>
    <col min="11" max="16384" width="9.140625" style="43"/>
  </cols>
  <sheetData>
    <row r="1" spans="1:16" ht="12.75" customHeight="1" x14ac:dyDescent="0.2">
      <c r="G1" s="201" t="s">
        <v>389</v>
      </c>
      <c r="H1" s="201"/>
      <c r="I1" s="201"/>
      <c r="J1" s="201"/>
      <c r="K1" s="201"/>
      <c r="L1" s="201"/>
      <c r="M1" s="201"/>
      <c r="N1" s="201"/>
      <c r="O1" s="201"/>
      <c r="P1" s="201"/>
    </row>
    <row r="2" spans="1:16" ht="12.75" customHeight="1" x14ac:dyDescent="0.2">
      <c r="A2" s="44"/>
      <c r="B2" s="200" t="s">
        <v>388</v>
      </c>
      <c r="C2" s="201"/>
      <c r="D2" s="201"/>
      <c r="E2" s="201"/>
      <c r="G2" s="44"/>
      <c r="H2" s="200" t="s">
        <v>364</v>
      </c>
      <c r="I2" s="201"/>
      <c r="J2" s="201"/>
      <c r="K2" s="200" t="s">
        <v>365</v>
      </c>
      <c r="L2" s="201"/>
      <c r="M2" s="201"/>
      <c r="N2" s="200" t="s">
        <v>366</v>
      </c>
      <c r="O2" s="201"/>
      <c r="P2" s="201"/>
    </row>
    <row r="3" spans="1:16" x14ac:dyDescent="0.2">
      <c r="A3" s="44"/>
      <c r="B3" s="92" t="s">
        <v>282</v>
      </c>
      <c r="C3" s="77" t="s">
        <v>264</v>
      </c>
      <c r="D3" s="77" t="s">
        <v>265</v>
      </c>
      <c r="E3" s="77" t="s">
        <v>266</v>
      </c>
      <c r="G3" s="44"/>
      <c r="H3" s="92" t="s">
        <v>282</v>
      </c>
      <c r="I3" s="77" t="s">
        <v>264</v>
      </c>
      <c r="J3" s="77" t="s">
        <v>265</v>
      </c>
      <c r="K3" s="92" t="s">
        <v>282</v>
      </c>
      <c r="L3" s="77" t="s">
        <v>264</v>
      </c>
      <c r="M3" s="77" t="s">
        <v>265</v>
      </c>
      <c r="N3" s="92" t="s">
        <v>282</v>
      </c>
      <c r="O3" s="77" t="s">
        <v>264</v>
      </c>
      <c r="P3" s="77" t="s">
        <v>265</v>
      </c>
    </row>
    <row r="4" spans="1:16" x14ac:dyDescent="0.2">
      <c r="A4" s="44" t="s">
        <v>72</v>
      </c>
      <c r="B4" s="46">
        <f>+SUM(B5:B31)</f>
        <v>2434116.2301983032</v>
      </c>
      <c r="C4" s="46">
        <f>+SUM(C5:C31)</f>
        <v>2191885.9080866515</v>
      </c>
      <c r="D4" s="46">
        <f>+SUM(D5:D31)</f>
        <v>1911634.0505479409</v>
      </c>
      <c r="G4" s="44" t="s">
        <v>72</v>
      </c>
      <c r="H4" s="46">
        <f t="shared" ref="H4:P4" si="0">+SUM(H5:H31)</f>
        <v>2434116.2301983032</v>
      </c>
      <c r="I4" s="46">
        <f t="shared" si="0"/>
        <v>2191885.9080866515</v>
      </c>
      <c r="J4" s="46">
        <f t="shared" si="0"/>
        <v>1911634.0505479409</v>
      </c>
      <c r="K4" s="89">
        <f t="shared" si="0"/>
        <v>309132.7612351845</v>
      </c>
      <c r="L4" s="46">
        <f t="shared" si="0"/>
        <v>278369.51032700477</v>
      </c>
      <c r="M4" s="46">
        <f t="shared" si="0"/>
        <v>853453.14237637108</v>
      </c>
      <c r="N4" s="89">
        <f t="shared" si="0"/>
        <v>129811.81964138128</v>
      </c>
      <c r="O4" s="46">
        <f t="shared" si="0"/>
        <v>112276.66573238153</v>
      </c>
      <c r="P4" s="46">
        <f t="shared" si="0"/>
        <v>448781.92534332024</v>
      </c>
    </row>
    <row r="5" spans="1:16" x14ac:dyDescent="0.2">
      <c r="A5" s="44" t="s">
        <v>0</v>
      </c>
      <c r="B5" s="46"/>
      <c r="D5" s="46">
        <f>+('Step 2'!G5/'Option 3, Step 1'!B4)*'Option 3, Step 1'!M4</f>
        <v>903.47014867621863</v>
      </c>
      <c r="G5" s="44" t="s">
        <v>0</v>
      </c>
      <c r="H5" s="46"/>
      <c r="J5" s="46">
        <f>+D5</f>
        <v>903.47014867621863</v>
      </c>
      <c r="K5" s="89"/>
      <c r="L5" s="46"/>
      <c r="M5" s="46">
        <f>+J5*'Step 3'!$E3</f>
        <v>885.40074570269428</v>
      </c>
      <c r="N5" s="89"/>
      <c r="O5" s="101"/>
      <c r="P5" s="46">
        <f>+M5*'Step 4'!H5</f>
        <v>270.9326281850245</v>
      </c>
    </row>
    <row r="6" spans="1:16" x14ac:dyDescent="0.2">
      <c r="A6" s="44" t="s">
        <v>1</v>
      </c>
      <c r="B6" s="46"/>
      <c r="D6" s="46"/>
      <c r="G6" s="44" t="s">
        <v>1</v>
      </c>
      <c r="H6" s="46"/>
      <c r="J6" s="46"/>
      <c r="K6" s="89"/>
      <c r="L6" s="46"/>
      <c r="M6" s="101"/>
      <c r="N6" s="100"/>
      <c r="O6" s="101"/>
      <c r="P6" s="101"/>
    </row>
    <row r="7" spans="1:16" x14ac:dyDescent="0.2">
      <c r="A7" s="44" t="s">
        <v>2</v>
      </c>
      <c r="B7" s="46"/>
      <c r="D7" s="46"/>
      <c r="G7" s="44" t="s">
        <v>2</v>
      </c>
      <c r="H7" s="46"/>
      <c r="J7" s="46"/>
      <c r="K7" s="89"/>
      <c r="L7" s="46"/>
      <c r="M7" s="101"/>
      <c r="N7" s="100"/>
      <c r="O7" s="101"/>
      <c r="P7" s="101"/>
    </row>
    <row r="8" spans="1:16" x14ac:dyDescent="0.2">
      <c r="A8" s="44" t="s">
        <v>3</v>
      </c>
      <c r="B8" s="46"/>
      <c r="D8" s="46"/>
      <c r="G8" s="44" t="s">
        <v>3</v>
      </c>
      <c r="H8" s="46"/>
      <c r="J8" s="46"/>
      <c r="K8" s="89"/>
      <c r="L8" s="46"/>
      <c r="M8" s="101"/>
      <c r="N8" s="100"/>
      <c r="O8" s="101"/>
      <c r="P8" s="101"/>
    </row>
    <row r="9" spans="1:16" x14ac:dyDescent="0.2">
      <c r="A9" s="44" t="s">
        <v>4</v>
      </c>
      <c r="B9" s="46"/>
      <c r="D9" s="46"/>
      <c r="G9" s="44" t="s">
        <v>4</v>
      </c>
      <c r="H9" s="46"/>
      <c r="J9" s="46"/>
      <c r="K9" s="89"/>
      <c r="L9" s="46"/>
      <c r="M9" s="101"/>
      <c r="N9" s="100"/>
      <c r="O9" s="101"/>
      <c r="P9" s="101"/>
    </row>
    <row r="10" spans="1:16" x14ac:dyDescent="0.2">
      <c r="A10" s="44" t="s">
        <v>5</v>
      </c>
      <c r="B10" s="46"/>
      <c r="D10" s="46">
        <f>+'Step 2'!S10*'Option 3, Step 1'!M9</f>
        <v>230457.94638954237</v>
      </c>
      <c r="G10" s="44" t="s">
        <v>5</v>
      </c>
      <c r="H10" s="46"/>
      <c r="J10" s="46">
        <f>+D10</f>
        <v>230457.94638954237</v>
      </c>
      <c r="K10" s="89"/>
      <c r="L10" s="46"/>
      <c r="M10" s="46">
        <f>+J10*'Step 3'!$E8</f>
        <v>124447.29105035288</v>
      </c>
      <c r="N10" s="89"/>
      <c r="O10" s="101"/>
      <c r="P10" s="46">
        <f>+M10*'Step 4'!H10</f>
        <v>27253.956740027279</v>
      </c>
    </row>
    <row r="11" spans="1:16" x14ac:dyDescent="0.2">
      <c r="A11" s="44" t="s">
        <v>6</v>
      </c>
      <c r="B11" s="46"/>
      <c r="D11" s="46"/>
      <c r="G11" s="44" t="s">
        <v>6</v>
      </c>
      <c r="H11" s="46"/>
      <c r="J11" s="46"/>
      <c r="K11" s="89"/>
      <c r="L11" s="46"/>
      <c r="M11" s="101"/>
      <c r="N11" s="100"/>
      <c r="O11" s="101"/>
      <c r="P11" s="101"/>
    </row>
    <row r="12" spans="1:16" x14ac:dyDescent="0.2">
      <c r="A12" s="44" t="s">
        <v>7</v>
      </c>
      <c r="B12" s="46"/>
      <c r="D12" s="46"/>
      <c r="G12" s="44" t="s">
        <v>7</v>
      </c>
      <c r="H12" s="46"/>
      <c r="J12" s="46"/>
      <c r="K12" s="89"/>
      <c r="L12" s="46"/>
      <c r="M12" s="101"/>
      <c r="N12" s="100"/>
      <c r="O12" s="101"/>
      <c r="P12" s="101"/>
    </row>
    <row r="13" spans="1:16" x14ac:dyDescent="0.2">
      <c r="A13" s="44" t="s">
        <v>8</v>
      </c>
      <c r="B13" s="46"/>
      <c r="D13" s="46"/>
      <c r="G13" s="44" t="s">
        <v>8</v>
      </c>
      <c r="H13" s="46"/>
      <c r="J13" s="46"/>
      <c r="K13" s="89"/>
      <c r="L13" s="46"/>
      <c r="M13" s="101"/>
      <c r="N13" s="100"/>
      <c r="O13" s="101"/>
      <c r="P13" s="101"/>
    </row>
    <row r="14" spans="1:16" x14ac:dyDescent="0.2">
      <c r="A14" s="44" t="s">
        <v>9</v>
      </c>
      <c r="B14" s="46"/>
      <c r="D14" s="46"/>
      <c r="G14" s="44" t="s">
        <v>9</v>
      </c>
      <c r="H14" s="46"/>
      <c r="J14" s="46"/>
      <c r="K14" s="89"/>
      <c r="L14" s="46"/>
      <c r="M14" s="101"/>
      <c r="N14" s="100"/>
      <c r="O14" s="101"/>
      <c r="P14" s="101"/>
    </row>
    <row r="15" spans="1:16" x14ac:dyDescent="0.2">
      <c r="A15" s="44" t="s">
        <v>10</v>
      </c>
      <c r="B15" s="46"/>
      <c r="D15" s="46">
        <f>+'Step 2'!S15*'Option 3, Step 1'!M14</f>
        <v>65697.803377436037</v>
      </c>
      <c r="G15" s="44" t="s">
        <v>10</v>
      </c>
      <c r="H15" s="46"/>
      <c r="J15" s="46">
        <f>+D15</f>
        <v>65697.803377436037</v>
      </c>
      <c r="K15" s="89"/>
      <c r="L15" s="46"/>
      <c r="M15" s="46">
        <f>+J15*'Step 3'!$E13</f>
        <v>61755.935174789869</v>
      </c>
      <c r="N15" s="100"/>
      <c r="O15" s="101"/>
      <c r="P15" s="46">
        <f>+M15*'Step 4'!H15</f>
        <v>26740.319930684018</v>
      </c>
    </row>
    <row r="16" spans="1:16" x14ac:dyDescent="0.2">
      <c r="A16" s="44" t="s">
        <v>11</v>
      </c>
      <c r="B16" s="46"/>
      <c r="D16" s="46">
        <f>+'Step 2'!S16*'Option 3, Step 1'!M15</f>
        <v>135329.54111749481</v>
      </c>
      <c r="G16" s="44" t="s">
        <v>11</v>
      </c>
      <c r="H16" s="46"/>
      <c r="J16" s="46">
        <f>+D16</f>
        <v>135329.54111749481</v>
      </c>
      <c r="K16" s="89"/>
      <c r="L16" s="46"/>
      <c r="M16" s="46">
        <f>+J16*'Step 3'!$E14</f>
        <v>34509.032984961173</v>
      </c>
      <c r="N16" s="89"/>
      <c r="O16" s="101"/>
      <c r="P16" s="46">
        <f>+M16*'Step 4'!H16</f>
        <v>24156.323089472819</v>
      </c>
    </row>
    <row r="17" spans="1:16" x14ac:dyDescent="0.2">
      <c r="A17" s="44" t="s">
        <v>26</v>
      </c>
      <c r="B17" s="46"/>
      <c r="D17" s="46"/>
      <c r="G17" s="44" t="s">
        <v>26</v>
      </c>
      <c r="H17" s="46"/>
      <c r="J17" s="46"/>
      <c r="K17" s="89"/>
      <c r="L17" s="46"/>
      <c r="M17" s="101"/>
      <c r="N17" s="100"/>
      <c r="O17" s="101"/>
      <c r="P17" s="101"/>
    </row>
    <row r="18" spans="1:16" x14ac:dyDescent="0.2">
      <c r="A18" s="44" t="s">
        <v>12</v>
      </c>
      <c r="B18" s="46"/>
      <c r="D18" s="46"/>
      <c r="G18" s="44" t="s">
        <v>12</v>
      </c>
      <c r="H18" s="46"/>
      <c r="J18" s="46"/>
      <c r="K18" s="89"/>
      <c r="L18" s="46"/>
      <c r="M18" s="101"/>
      <c r="N18" s="100"/>
      <c r="O18" s="101"/>
      <c r="P18" s="101"/>
    </row>
    <row r="19" spans="1:16" x14ac:dyDescent="0.2">
      <c r="A19" s="44" t="s">
        <v>13</v>
      </c>
      <c r="B19" s="46"/>
      <c r="D19" s="46">
        <f>+'Step 2'!S19*'Option 3, Step 1'!M18</f>
        <v>1067.7963637559149</v>
      </c>
      <c r="G19" s="44" t="s">
        <v>13</v>
      </c>
      <c r="H19" s="46"/>
      <c r="J19" s="46">
        <f>+D19</f>
        <v>1067.7963637559149</v>
      </c>
      <c r="K19" s="89"/>
      <c r="L19" s="46"/>
      <c r="M19" s="46">
        <f>+J19*'Step 3'!$E17</f>
        <v>363.05076367701105</v>
      </c>
      <c r="N19" s="89"/>
      <c r="O19" s="101"/>
      <c r="P19" s="46">
        <f>+M19*'Step 4'!H19</f>
        <v>103.83251841162517</v>
      </c>
    </row>
    <row r="20" spans="1:16" x14ac:dyDescent="0.2">
      <c r="A20" s="44" t="s">
        <v>14</v>
      </c>
      <c r="B20" s="46"/>
      <c r="D20" s="46">
        <f>+'Step 2'!S20*'Option 3, Step 1'!M19</f>
        <v>553992.33916841727</v>
      </c>
      <c r="G20" s="44" t="s">
        <v>14</v>
      </c>
      <c r="H20" s="46"/>
      <c r="J20" s="46">
        <f>+D20</f>
        <v>553992.33916841727</v>
      </c>
      <c r="K20" s="89"/>
      <c r="L20" s="46"/>
      <c r="M20" s="46">
        <f>+J20*'Step 3'!$E18</f>
        <v>443193.87133473385</v>
      </c>
      <c r="N20" s="89"/>
      <c r="O20" s="101"/>
      <c r="P20" s="46">
        <f>+M20*'Step 4'!H20</f>
        <v>310235.70993431367</v>
      </c>
    </row>
    <row r="21" spans="1:16" x14ac:dyDescent="0.2">
      <c r="A21" s="44" t="s">
        <v>15</v>
      </c>
      <c r="B21" s="46"/>
      <c r="D21" s="46"/>
      <c r="G21" s="44" t="s">
        <v>15</v>
      </c>
      <c r="H21" s="46"/>
      <c r="J21" s="46"/>
      <c r="K21" s="89"/>
      <c r="L21" s="46"/>
      <c r="M21" s="101"/>
      <c r="N21" s="100"/>
      <c r="O21" s="101"/>
      <c r="P21" s="101"/>
    </row>
    <row r="22" spans="1:16" x14ac:dyDescent="0.2">
      <c r="A22" s="44" t="s">
        <v>16</v>
      </c>
      <c r="B22" s="46"/>
      <c r="D22" s="46"/>
      <c r="G22" s="44" t="s">
        <v>16</v>
      </c>
      <c r="H22" s="46"/>
      <c r="J22" s="46"/>
      <c r="K22" s="89"/>
      <c r="L22" s="46"/>
      <c r="M22" s="101"/>
      <c r="N22" s="100"/>
      <c r="O22" s="101"/>
      <c r="P22" s="101"/>
    </row>
    <row r="23" spans="1:16" x14ac:dyDescent="0.2">
      <c r="A23" s="44" t="s">
        <v>17</v>
      </c>
      <c r="B23" s="46"/>
      <c r="D23" s="46"/>
      <c r="G23" s="44" t="s">
        <v>17</v>
      </c>
      <c r="H23" s="46"/>
      <c r="J23" s="46"/>
      <c r="K23" s="89"/>
      <c r="L23" s="46"/>
      <c r="M23" s="101"/>
      <c r="N23" s="100"/>
      <c r="O23" s="101"/>
      <c r="P23" s="101"/>
    </row>
    <row r="24" spans="1:16" x14ac:dyDescent="0.2">
      <c r="A24" s="44" t="s">
        <v>18</v>
      </c>
      <c r="B24" s="46"/>
      <c r="D24" s="46"/>
      <c r="G24" s="44" t="s">
        <v>18</v>
      </c>
      <c r="H24" s="46"/>
      <c r="J24" s="46"/>
      <c r="K24" s="89"/>
      <c r="L24" s="46"/>
      <c r="M24" s="101"/>
      <c r="N24" s="100"/>
      <c r="O24" s="101"/>
      <c r="P24" s="101"/>
    </row>
    <row r="25" spans="1:16" x14ac:dyDescent="0.2">
      <c r="A25" s="44" t="s">
        <v>19</v>
      </c>
      <c r="B25" s="46"/>
      <c r="D25" s="46">
        <f>+'Step 2'!S25*'Option 3, Step 1'!M24</f>
        <v>67424.665067105088</v>
      </c>
      <c r="G25" s="44" t="s">
        <v>19</v>
      </c>
      <c r="H25" s="46"/>
      <c r="J25" s="46">
        <f t="shared" ref="I25:J30" si="1">+D25</f>
        <v>67424.665067105088</v>
      </c>
      <c r="K25" s="89"/>
      <c r="L25" s="46"/>
      <c r="M25" s="46">
        <f>+J25*'Step 3'!$E23</f>
        <v>51714.718106469605</v>
      </c>
      <c r="N25" s="100"/>
      <c r="O25" s="101"/>
      <c r="P25" s="46"/>
    </row>
    <row r="26" spans="1:16" x14ac:dyDescent="0.2">
      <c r="A26" s="44" t="s">
        <v>20</v>
      </c>
      <c r="B26" s="46">
        <f>+'Step 2'!Q26*'Option 1, Step 1'!AB26</f>
        <v>2434116.2301983032</v>
      </c>
      <c r="C26" s="46">
        <f>+'Step 2'!R26*'Option 2, Step 1'!M25</f>
        <v>2191885.9080866515</v>
      </c>
      <c r="D26" s="46">
        <f>+'Step 2'!S26*'Option 3, Step 1'!M25</f>
        <v>806481.01414536464</v>
      </c>
      <c r="G26" s="44" t="s">
        <v>20</v>
      </c>
      <c r="H26" s="46">
        <f>+B26</f>
        <v>2434116.2301983032</v>
      </c>
      <c r="I26" s="46">
        <f t="shared" si="1"/>
        <v>2191885.9080866515</v>
      </c>
      <c r="J26" s="46">
        <f t="shared" si="1"/>
        <v>806481.01414536464</v>
      </c>
      <c r="K26" s="89">
        <f>+H26*'Step 3'!$E24</f>
        <v>309132.7612351845</v>
      </c>
      <c r="L26" s="46">
        <f>+I26*'Step 3'!$E24</f>
        <v>278369.51032700477</v>
      </c>
      <c r="M26" s="46">
        <f>+J26*'Step 3'!$E24</f>
        <v>102423.08879646131</v>
      </c>
      <c r="N26" s="89">
        <f>+SUM(O26:P26)*K26/SUM(L26:M26)</f>
        <v>129811.81964138128</v>
      </c>
      <c r="O26" s="46">
        <f>+L26*'Step 4'!G26</f>
        <v>112276.66573238153</v>
      </c>
      <c r="P26" s="46">
        <f>+M26*'Step 4'!H26</f>
        <v>47626.736290354507</v>
      </c>
    </row>
    <row r="27" spans="1:16" x14ac:dyDescent="0.2">
      <c r="A27" s="44" t="s">
        <v>21</v>
      </c>
      <c r="D27" s="46">
        <f>+'Step 2'!S27*'Option 3, Step 1'!M26</f>
        <v>10823.625546024434</v>
      </c>
      <c r="G27" s="44" t="s">
        <v>21</v>
      </c>
      <c r="H27" s="46"/>
      <c r="J27" s="46">
        <f t="shared" si="1"/>
        <v>10823.625546024434</v>
      </c>
      <c r="K27" s="89"/>
      <c r="L27" s="46"/>
      <c r="M27" s="46">
        <f>+J27*'Step 3'!$E25</f>
        <v>7998.6592785120574</v>
      </c>
      <c r="N27" s="100"/>
      <c r="O27" s="101"/>
      <c r="P27" s="46">
        <f>+M27*'Step 4'!H27</f>
        <v>5071.1499825766441</v>
      </c>
    </row>
    <row r="28" spans="1:16" x14ac:dyDescent="0.2">
      <c r="A28" s="44" t="s">
        <v>22</v>
      </c>
      <c r="B28" s="46"/>
      <c r="D28" s="46"/>
      <c r="G28" s="44" t="s">
        <v>22</v>
      </c>
      <c r="H28" s="46"/>
      <c r="J28" s="46"/>
      <c r="K28" s="89"/>
      <c r="L28" s="46"/>
      <c r="M28" s="101"/>
      <c r="N28" s="100"/>
      <c r="O28" s="101"/>
      <c r="P28" s="101"/>
    </row>
    <row r="29" spans="1:16" x14ac:dyDescent="0.2">
      <c r="A29" s="44" t="s">
        <v>23</v>
      </c>
      <c r="B29" s="46"/>
      <c r="D29" s="46">
        <f>+'Step 2'!S29*'Option 3, Step 1'!M28</f>
        <v>34322.902760930345</v>
      </c>
      <c r="G29" s="44" t="s">
        <v>23</v>
      </c>
      <c r="H29" s="46"/>
      <c r="J29" s="46">
        <f t="shared" si="1"/>
        <v>34322.902760930345</v>
      </c>
      <c r="K29" s="89"/>
      <c r="L29" s="46"/>
      <c r="M29" s="46">
        <f>+J29*'Step 3'!$E27</f>
        <v>22522.83509830619</v>
      </c>
      <c r="N29" s="100"/>
      <c r="O29" s="101"/>
      <c r="P29" s="46">
        <f>+M29*'Step 4'!H29</f>
        <v>5630.7087745765475</v>
      </c>
    </row>
    <row r="30" spans="1:16" x14ac:dyDescent="0.2">
      <c r="A30" s="44" t="s">
        <v>24</v>
      </c>
      <c r="B30" s="46"/>
      <c r="D30" s="46">
        <f>+'Step 2'!S30*'Option 3, Step 1'!M29</f>
        <v>5132.9464631938563</v>
      </c>
      <c r="G30" s="44" t="s">
        <v>24</v>
      </c>
      <c r="H30" s="46"/>
      <c r="J30" s="46">
        <f t="shared" si="1"/>
        <v>5132.9464631938563</v>
      </c>
      <c r="K30" s="89"/>
      <c r="L30" s="46"/>
      <c r="M30" s="46">
        <f>+J30*'Step 3'!$E28</f>
        <v>3639.2590424044447</v>
      </c>
      <c r="N30" s="89"/>
      <c r="O30" s="101"/>
      <c r="P30" s="46">
        <f>+M30*'Step 4'!H30</f>
        <v>1692.2554547180666</v>
      </c>
    </row>
    <row r="31" spans="1:16" x14ac:dyDescent="0.2">
      <c r="A31" s="44" t="s">
        <v>25</v>
      </c>
      <c r="B31" s="46"/>
      <c r="D31" s="46"/>
      <c r="G31" s="44" t="s">
        <v>25</v>
      </c>
      <c r="H31" s="46"/>
      <c r="J31" s="46"/>
      <c r="K31" s="100"/>
      <c r="L31" s="101"/>
      <c r="M31" s="101"/>
      <c r="N31" s="100"/>
      <c r="O31" s="101"/>
      <c r="P31" s="101"/>
    </row>
  </sheetData>
  <mergeCells count="5">
    <mergeCell ref="G1:P1"/>
    <mergeCell ref="B2:E2"/>
    <mergeCell ref="H2:J2"/>
    <mergeCell ref="K2:M2"/>
    <mergeCell ref="N2:P2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5"/>
  <sheetViews>
    <sheetView tabSelected="1" workbookViewId="0">
      <selection activeCell="D8" sqref="D8"/>
    </sheetView>
  </sheetViews>
  <sheetFormatPr defaultColWidth="9.140625" defaultRowHeight="11.25" x14ac:dyDescent="0.2"/>
  <cols>
    <col min="1" max="1" width="5.7109375" style="2" customWidth="1"/>
    <col min="2" max="2" width="48.85546875" style="2" customWidth="1"/>
    <col min="3" max="3" width="7.5703125" style="2" customWidth="1"/>
    <col min="4" max="5" width="9.140625" style="2"/>
    <col min="6" max="6" width="13.28515625" style="2" customWidth="1"/>
    <col min="7" max="7" width="15" style="2" customWidth="1"/>
    <col min="8" max="8" width="9.140625" style="20"/>
    <col min="9" max="10" width="11.5703125" style="2" customWidth="1"/>
    <col min="11" max="11" width="12.5703125" style="2" customWidth="1"/>
    <col min="12" max="12" width="9.140625" style="2"/>
    <col min="13" max="13" width="11.140625" style="2" customWidth="1"/>
    <col min="14" max="14" width="13.28515625" style="2" customWidth="1"/>
    <col min="15" max="15" width="14.7109375" style="2" customWidth="1"/>
    <col min="16" max="16384" width="9.140625" style="2"/>
  </cols>
  <sheetData>
    <row r="1" spans="1:18" x14ac:dyDescent="0.2">
      <c r="A1" s="1"/>
      <c r="B1" s="1"/>
      <c r="C1" s="1"/>
      <c r="D1" s="1" t="s">
        <v>110</v>
      </c>
      <c r="E1" s="1"/>
      <c r="F1" s="1"/>
      <c r="G1" s="1"/>
      <c r="H1" s="1"/>
      <c r="I1" s="1"/>
      <c r="J1" s="1"/>
      <c r="K1" s="21" t="s">
        <v>111</v>
      </c>
      <c r="L1" s="1"/>
      <c r="M1" s="1"/>
      <c r="N1" s="1"/>
      <c r="O1" s="1"/>
      <c r="P1" s="1"/>
      <c r="Q1" s="1"/>
    </row>
    <row r="2" spans="1:18" x14ac:dyDescent="0.2">
      <c r="A2" s="1"/>
      <c r="B2" s="1" t="s">
        <v>30</v>
      </c>
      <c r="C2" s="1" t="s">
        <v>112</v>
      </c>
      <c r="D2" s="1" t="s">
        <v>114</v>
      </c>
      <c r="E2" s="1" t="s">
        <v>115</v>
      </c>
      <c r="F2" s="1" t="s">
        <v>106</v>
      </c>
      <c r="G2" s="1" t="s">
        <v>107</v>
      </c>
      <c r="H2" s="1" t="s">
        <v>108</v>
      </c>
      <c r="I2" s="1" t="s">
        <v>109</v>
      </c>
      <c r="J2" s="1" t="s">
        <v>116</v>
      </c>
      <c r="K2" s="21" t="s">
        <v>112</v>
      </c>
      <c r="L2" s="1" t="s">
        <v>114</v>
      </c>
      <c r="M2" s="1" t="s">
        <v>115</v>
      </c>
      <c r="N2" s="1" t="s">
        <v>106</v>
      </c>
      <c r="O2" s="1" t="s">
        <v>107</v>
      </c>
      <c r="P2" s="1" t="s">
        <v>108</v>
      </c>
      <c r="Q2" s="1" t="s">
        <v>121</v>
      </c>
      <c r="R2" s="2" t="s">
        <v>116</v>
      </c>
    </row>
    <row r="3" spans="1:18" x14ac:dyDescent="0.2">
      <c r="A3" s="1" t="s">
        <v>0</v>
      </c>
      <c r="B3" s="2" t="s">
        <v>244</v>
      </c>
      <c r="C3" s="2" t="s">
        <v>120</v>
      </c>
      <c r="D3" s="2">
        <v>1506</v>
      </c>
      <c r="E3" s="23">
        <f>D3*(1/40)*(12/52)</f>
        <v>8.6884615384615387</v>
      </c>
      <c r="K3" s="22" t="s">
        <v>286</v>
      </c>
      <c r="M3" s="24" t="s">
        <v>129</v>
      </c>
      <c r="Q3" s="25" t="s">
        <v>130</v>
      </c>
      <c r="R3" s="2" t="s">
        <v>128</v>
      </c>
    </row>
    <row r="4" spans="1:18" x14ac:dyDescent="0.2">
      <c r="A4" s="1" t="s">
        <v>1</v>
      </c>
      <c r="K4" s="22"/>
      <c r="M4" s="2">
        <v>9.1999999999999993</v>
      </c>
      <c r="R4" s="2" t="s">
        <v>127</v>
      </c>
    </row>
    <row r="5" spans="1:18" x14ac:dyDescent="0.2">
      <c r="A5" s="1" t="s">
        <v>2</v>
      </c>
      <c r="K5" s="22"/>
    </row>
    <row r="6" spans="1:18" x14ac:dyDescent="0.2">
      <c r="A6" s="1" t="s">
        <v>3</v>
      </c>
      <c r="K6" s="22"/>
    </row>
    <row r="7" spans="1:18" x14ac:dyDescent="0.2">
      <c r="A7" s="1" t="s">
        <v>4</v>
      </c>
      <c r="K7" s="22"/>
    </row>
    <row r="8" spans="1:18" x14ac:dyDescent="0.2">
      <c r="A8" s="1" t="s">
        <v>5</v>
      </c>
      <c r="K8" s="22"/>
      <c r="M8" s="2">
        <v>11</v>
      </c>
      <c r="R8" s="2" t="s">
        <v>131</v>
      </c>
    </row>
    <row r="9" spans="1:18" x14ac:dyDescent="0.2">
      <c r="A9" s="1" t="s">
        <v>6</v>
      </c>
      <c r="B9" s="2" t="s">
        <v>243</v>
      </c>
      <c r="C9" s="2" t="s">
        <v>119</v>
      </c>
      <c r="D9" s="12">
        <f>141.21*0.13</f>
        <v>18.357300000000002</v>
      </c>
      <c r="E9" s="12">
        <f>+D9</f>
        <v>18.357300000000002</v>
      </c>
      <c r="K9" s="22" t="s">
        <v>119</v>
      </c>
      <c r="L9" s="35">
        <f>130*0.13</f>
        <v>16.900000000000002</v>
      </c>
      <c r="M9" s="2">
        <f>+L9</f>
        <v>16.900000000000002</v>
      </c>
      <c r="Q9" s="15">
        <f>+E9/M9-1</f>
        <v>8.6230769230769333E-2</v>
      </c>
      <c r="R9" s="2" t="s">
        <v>242</v>
      </c>
    </row>
    <row r="10" spans="1:18" x14ac:dyDescent="0.2">
      <c r="A10" s="1" t="s">
        <v>7</v>
      </c>
      <c r="K10" s="22"/>
    </row>
    <row r="11" spans="1:18" x14ac:dyDescent="0.2">
      <c r="A11" s="1" t="s">
        <v>8</v>
      </c>
      <c r="K11" s="22"/>
    </row>
    <row r="12" spans="1:18" x14ac:dyDescent="0.2">
      <c r="A12" s="1" t="s">
        <v>9</v>
      </c>
      <c r="K12" s="22"/>
    </row>
    <row r="13" spans="1:18" x14ac:dyDescent="0.2">
      <c r="A13" s="1" t="s">
        <v>10</v>
      </c>
      <c r="B13" s="2" t="s">
        <v>244</v>
      </c>
      <c r="C13" s="2" t="s">
        <v>120</v>
      </c>
      <c r="D13" s="2">
        <v>1500</v>
      </c>
      <c r="E13" s="23">
        <f>D13*(1/40)*(12/52)</f>
        <v>8.6538461538461551</v>
      </c>
      <c r="F13" s="20" t="s">
        <v>27</v>
      </c>
      <c r="J13" s="2" t="s">
        <v>125</v>
      </c>
      <c r="K13" s="22" t="s">
        <v>286</v>
      </c>
      <c r="L13" s="2">
        <f>430/50</f>
        <v>8.6</v>
      </c>
      <c r="M13" s="23">
        <f>L13</f>
        <v>8.6</v>
      </c>
      <c r="Q13" s="15">
        <f>+E13/M13-1</f>
        <v>6.2611806797854275E-3</v>
      </c>
      <c r="R13" s="2" t="s">
        <v>126</v>
      </c>
    </row>
    <row r="14" spans="1:18" x14ac:dyDescent="0.2">
      <c r="A14" s="1" t="s">
        <v>11</v>
      </c>
      <c r="K14" s="22"/>
    </row>
    <row r="15" spans="1:18" x14ac:dyDescent="0.2">
      <c r="A15" s="1" t="s">
        <v>26</v>
      </c>
      <c r="K15" s="22"/>
    </row>
    <row r="16" spans="1:18" x14ac:dyDescent="0.2">
      <c r="A16" s="1" t="s">
        <v>12</v>
      </c>
      <c r="K16" s="22"/>
    </row>
    <row r="17" spans="1:18" x14ac:dyDescent="0.2">
      <c r="A17" s="1" t="s">
        <v>13</v>
      </c>
      <c r="K17" s="22"/>
    </row>
    <row r="18" spans="1:18" x14ac:dyDescent="0.2">
      <c r="A18" s="1" t="s">
        <v>14</v>
      </c>
      <c r="B18" s="2" t="s">
        <v>31</v>
      </c>
      <c r="C18" s="2" t="s">
        <v>119</v>
      </c>
      <c r="D18" s="2">
        <v>10</v>
      </c>
      <c r="E18" s="2">
        <v>10</v>
      </c>
      <c r="F18" s="20" t="s">
        <v>27</v>
      </c>
      <c r="G18" s="20" t="s">
        <v>27</v>
      </c>
      <c r="H18" s="20" t="s">
        <v>27</v>
      </c>
      <c r="I18" s="20" t="s">
        <v>28</v>
      </c>
      <c r="J18" s="2" t="s">
        <v>117</v>
      </c>
      <c r="K18" s="22" t="s">
        <v>113</v>
      </c>
      <c r="L18" s="2">
        <v>3.7</v>
      </c>
      <c r="M18" s="2">
        <f>+L18*2</f>
        <v>7.4</v>
      </c>
      <c r="N18" s="20" t="s">
        <v>28</v>
      </c>
      <c r="O18" s="20" t="s">
        <v>28</v>
      </c>
      <c r="P18" s="20" t="s">
        <v>28</v>
      </c>
      <c r="Q18" s="15">
        <f>+E18/M18-1</f>
        <v>0.35135135135135132</v>
      </c>
      <c r="R18" s="2" t="s">
        <v>118</v>
      </c>
    </row>
    <row r="19" spans="1:18" x14ac:dyDescent="0.2">
      <c r="A19" s="1" t="s">
        <v>15</v>
      </c>
      <c r="K19" s="22"/>
    </row>
    <row r="20" spans="1:18" x14ac:dyDescent="0.2">
      <c r="A20" s="1" t="s">
        <v>16</v>
      </c>
      <c r="K20" s="22"/>
    </row>
    <row r="21" spans="1:18" x14ac:dyDescent="0.2">
      <c r="A21" s="1" t="s">
        <v>17</v>
      </c>
      <c r="K21" s="22"/>
    </row>
    <row r="22" spans="1:18" x14ac:dyDescent="0.2">
      <c r="A22" s="1" t="s">
        <v>18</v>
      </c>
      <c r="K22" s="22"/>
    </row>
    <row r="23" spans="1:18" x14ac:dyDescent="0.2">
      <c r="A23" s="1" t="s">
        <v>19</v>
      </c>
      <c r="B23" s="2" t="s">
        <v>245</v>
      </c>
      <c r="C23" s="2" t="s">
        <v>119</v>
      </c>
      <c r="D23" s="2">
        <v>15</v>
      </c>
      <c r="E23" s="2">
        <f>+D23</f>
        <v>15</v>
      </c>
      <c r="J23" s="2" t="s">
        <v>124</v>
      </c>
      <c r="K23" s="22" t="s">
        <v>119</v>
      </c>
      <c r="L23" s="2">
        <v>11.7</v>
      </c>
      <c r="M23" s="2">
        <v>11.7</v>
      </c>
      <c r="Q23" s="15">
        <f>+E23/M23-1</f>
        <v>0.28205128205128216</v>
      </c>
      <c r="R23" s="2" t="s">
        <v>123</v>
      </c>
    </row>
    <row r="24" spans="1:18" x14ac:dyDescent="0.2">
      <c r="A24" s="1" t="s">
        <v>250</v>
      </c>
      <c r="B24" s="2" t="s">
        <v>251</v>
      </c>
      <c r="C24" s="2" t="s">
        <v>119</v>
      </c>
      <c r="D24" s="2">
        <v>13</v>
      </c>
      <c r="E24" s="2">
        <v>13</v>
      </c>
      <c r="K24" s="22" t="s">
        <v>119</v>
      </c>
      <c r="L24" s="2">
        <v>12</v>
      </c>
      <c r="M24" s="2">
        <v>12</v>
      </c>
      <c r="Q24" s="15">
        <f>+E24/M24-1</f>
        <v>8.3333333333333259E-2</v>
      </c>
      <c r="R24" s="2" t="s">
        <v>252</v>
      </c>
    </row>
    <row r="25" spans="1:18" x14ac:dyDescent="0.2">
      <c r="A25" s="1" t="s">
        <v>20</v>
      </c>
      <c r="K25" s="22"/>
    </row>
    <row r="26" spans="1:18" x14ac:dyDescent="0.2">
      <c r="A26" s="1" t="s">
        <v>21</v>
      </c>
      <c r="K26" s="22"/>
    </row>
    <row r="27" spans="1:18" x14ac:dyDescent="0.2">
      <c r="A27" s="1" t="s">
        <v>22</v>
      </c>
      <c r="K27" s="22"/>
    </row>
    <row r="28" spans="1:18" x14ac:dyDescent="0.2">
      <c r="A28" s="1" t="s">
        <v>23</v>
      </c>
      <c r="B28" s="2" t="s">
        <v>244</v>
      </c>
      <c r="C28" s="2" t="s">
        <v>119</v>
      </c>
      <c r="D28" s="23">
        <f>130*0.099</f>
        <v>12.870000000000001</v>
      </c>
      <c r="E28" s="23">
        <f>+D28</f>
        <v>12.870000000000001</v>
      </c>
      <c r="J28" s="2" t="s">
        <v>122</v>
      </c>
      <c r="K28" s="22" t="s">
        <v>286</v>
      </c>
      <c r="L28" s="6">
        <f>20*0.099</f>
        <v>1.98</v>
      </c>
      <c r="M28" s="23">
        <f>2*L28+70*0.099</f>
        <v>10.89</v>
      </c>
      <c r="Q28" s="15">
        <f>+E28/M28-1</f>
        <v>0.18181818181818188</v>
      </c>
      <c r="R28" s="2" t="s">
        <v>122</v>
      </c>
    </row>
    <row r="29" spans="1:18" x14ac:dyDescent="0.2">
      <c r="A29" s="1" t="s">
        <v>24</v>
      </c>
      <c r="K29" s="22"/>
    </row>
    <row r="30" spans="1:18" x14ac:dyDescent="0.2">
      <c r="A30" s="1" t="s">
        <v>25</v>
      </c>
      <c r="K30" s="22"/>
    </row>
    <row r="33" spans="1:18" x14ac:dyDescent="0.2">
      <c r="A33" s="1"/>
      <c r="B33" s="1"/>
      <c r="C33" s="1"/>
      <c r="D33" s="1" t="s">
        <v>110</v>
      </c>
      <c r="E33" s="1"/>
      <c r="F33" s="1"/>
      <c r="G33" s="1"/>
      <c r="H33" s="1"/>
      <c r="I33" s="1"/>
      <c r="J33" s="1"/>
      <c r="K33" s="21" t="s">
        <v>111</v>
      </c>
      <c r="L33" s="1"/>
      <c r="M33" s="1"/>
      <c r="N33" s="1"/>
      <c r="O33" s="1"/>
      <c r="P33" s="1"/>
      <c r="Q33" s="1"/>
    </row>
    <row r="34" spans="1:18" x14ac:dyDescent="0.2">
      <c r="A34" s="1"/>
      <c r="B34" s="1" t="s">
        <v>132</v>
      </c>
      <c r="C34" s="1" t="s">
        <v>112</v>
      </c>
      <c r="D34" s="1" t="s">
        <v>114</v>
      </c>
      <c r="E34" s="1" t="s">
        <v>115</v>
      </c>
      <c r="F34" s="1" t="s">
        <v>106</v>
      </c>
      <c r="G34" s="1" t="s">
        <v>107</v>
      </c>
      <c r="H34" s="1" t="s">
        <v>108</v>
      </c>
      <c r="I34" s="1" t="s">
        <v>109</v>
      </c>
      <c r="J34" s="1" t="s">
        <v>116</v>
      </c>
      <c r="K34" s="21" t="s">
        <v>112</v>
      </c>
      <c r="L34" s="1" t="s">
        <v>114</v>
      </c>
      <c r="M34" s="1" t="s">
        <v>115</v>
      </c>
      <c r="N34" s="1" t="s">
        <v>106</v>
      </c>
      <c r="O34" s="1" t="s">
        <v>107</v>
      </c>
      <c r="P34" s="1" t="s">
        <v>108</v>
      </c>
      <c r="Q34" s="1" t="s">
        <v>121</v>
      </c>
      <c r="R34" s="2" t="s">
        <v>116</v>
      </c>
    </row>
    <row r="35" spans="1:18" x14ac:dyDescent="0.2">
      <c r="A35" s="1" t="s">
        <v>0</v>
      </c>
      <c r="B35" s="2" t="s">
        <v>246</v>
      </c>
      <c r="C35" s="22" t="s">
        <v>135</v>
      </c>
      <c r="D35" s="2">
        <v>35.9</v>
      </c>
      <c r="E35" s="23">
        <f>4*D35/10</f>
        <v>14.36</v>
      </c>
      <c r="J35" s="2" t="s">
        <v>137</v>
      </c>
      <c r="K35" s="2" t="s">
        <v>120</v>
      </c>
      <c r="L35" s="2">
        <v>1500</v>
      </c>
      <c r="M35" s="23">
        <f>+L35*(1/50)*(12/52)</f>
        <v>6.9230769230769234</v>
      </c>
      <c r="Q35" s="15">
        <f>+E35/M35-1</f>
        <v>1.0742222222222222</v>
      </c>
      <c r="R35" s="2" t="s">
        <v>136</v>
      </c>
    </row>
    <row r="36" spans="1:18" x14ac:dyDescent="0.2">
      <c r="A36" s="1" t="s">
        <v>1</v>
      </c>
      <c r="K36" s="22"/>
    </row>
    <row r="37" spans="1:18" x14ac:dyDescent="0.2">
      <c r="A37" s="1" t="s">
        <v>2</v>
      </c>
      <c r="K37" s="22"/>
    </row>
    <row r="38" spans="1:18" x14ac:dyDescent="0.2">
      <c r="A38" s="1" t="s">
        <v>3</v>
      </c>
      <c r="K38" s="22"/>
    </row>
    <row r="39" spans="1:18" x14ac:dyDescent="0.2">
      <c r="A39" s="1" t="s">
        <v>4</v>
      </c>
      <c r="K39" s="22"/>
    </row>
    <row r="40" spans="1:18" x14ac:dyDescent="0.2">
      <c r="A40" s="1" t="s">
        <v>5</v>
      </c>
      <c r="B40" s="2" t="s">
        <v>246</v>
      </c>
      <c r="C40" s="2" t="s">
        <v>247</v>
      </c>
      <c r="D40" s="2">
        <v>1</v>
      </c>
      <c r="E40" s="23">
        <f>1000/(2*45)</f>
        <v>11.111111111111111</v>
      </c>
      <c r="K40" s="22" t="s">
        <v>248</v>
      </c>
      <c r="L40" s="2">
        <v>0.84</v>
      </c>
      <c r="M40" s="23">
        <f>+E40*L40</f>
        <v>9.3333333333333321</v>
      </c>
      <c r="Q40" s="15">
        <f>+D40/L40-1</f>
        <v>0.19047619047619047</v>
      </c>
      <c r="R40" s="2" t="s">
        <v>249</v>
      </c>
    </row>
    <row r="41" spans="1:18" x14ac:dyDescent="0.2">
      <c r="A41" s="1" t="s">
        <v>6</v>
      </c>
      <c r="K41" s="22"/>
    </row>
    <row r="42" spans="1:18" x14ac:dyDescent="0.2">
      <c r="A42" s="1" t="s">
        <v>7</v>
      </c>
      <c r="K42" s="22"/>
    </row>
    <row r="43" spans="1:18" x14ac:dyDescent="0.2">
      <c r="A43" s="1" t="s">
        <v>8</v>
      </c>
      <c r="K43" s="22"/>
    </row>
    <row r="44" spans="1:18" x14ac:dyDescent="0.2">
      <c r="A44" s="1" t="s">
        <v>9</v>
      </c>
      <c r="K44" s="22"/>
    </row>
    <row r="45" spans="1:18" x14ac:dyDescent="0.2">
      <c r="A45" s="1" t="s">
        <v>10</v>
      </c>
      <c r="K45" s="22"/>
    </row>
    <row r="46" spans="1:18" x14ac:dyDescent="0.2">
      <c r="A46" s="1" t="s">
        <v>11</v>
      </c>
      <c r="K46" s="22"/>
    </row>
    <row r="47" spans="1:18" x14ac:dyDescent="0.2">
      <c r="A47" s="1" t="s">
        <v>26</v>
      </c>
      <c r="K47" s="22"/>
    </row>
    <row r="48" spans="1:18" x14ac:dyDescent="0.2">
      <c r="A48" s="1" t="s">
        <v>12</v>
      </c>
      <c r="K48" s="22"/>
    </row>
    <row r="49" spans="1:18" x14ac:dyDescent="0.2">
      <c r="A49" s="1" t="s">
        <v>13</v>
      </c>
      <c r="K49" s="22"/>
    </row>
    <row r="50" spans="1:18" x14ac:dyDescent="0.2">
      <c r="A50" s="1" t="s">
        <v>14</v>
      </c>
      <c r="K50" s="22"/>
    </row>
    <row r="51" spans="1:18" x14ac:dyDescent="0.2">
      <c r="A51" s="1" t="s">
        <v>15</v>
      </c>
      <c r="K51" s="22"/>
    </row>
    <row r="52" spans="1:18" x14ac:dyDescent="0.2">
      <c r="A52" s="1" t="s">
        <v>16</v>
      </c>
      <c r="K52" s="22"/>
    </row>
    <row r="53" spans="1:18" x14ac:dyDescent="0.2">
      <c r="A53" s="1" t="s">
        <v>17</v>
      </c>
      <c r="K53" s="22"/>
    </row>
    <row r="54" spans="1:18" x14ac:dyDescent="0.2">
      <c r="A54" s="1" t="s">
        <v>18</v>
      </c>
      <c r="K54" s="22"/>
    </row>
    <row r="55" spans="1:18" x14ac:dyDescent="0.2">
      <c r="A55" s="1" t="s">
        <v>19</v>
      </c>
      <c r="B55" s="2" t="s">
        <v>133</v>
      </c>
      <c r="C55" s="2" t="s">
        <v>120</v>
      </c>
      <c r="D55" s="2">
        <f>4500*150%</f>
        <v>6750</v>
      </c>
      <c r="E55" s="23">
        <f>D55*(1/40)*(12/52)</f>
        <v>38.942307692307693</v>
      </c>
      <c r="J55" s="2" t="s">
        <v>134</v>
      </c>
      <c r="K55" s="22" t="s">
        <v>120</v>
      </c>
      <c r="L55" s="2">
        <f>75*32*(47/12)</f>
        <v>9400</v>
      </c>
      <c r="M55" s="23">
        <f>+L55*(1/40)*(12/52)</f>
        <v>54.230769230769234</v>
      </c>
      <c r="Q55" s="15">
        <f>+E55/M55-1</f>
        <v>-0.28191489361702127</v>
      </c>
      <c r="R55" s="2" t="s">
        <v>255</v>
      </c>
    </row>
    <row r="56" spans="1:18" x14ac:dyDescent="0.2">
      <c r="A56" s="1" t="s">
        <v>256</v>
      </c>
      <c r="E56" s="23"/>
      <c r="K56" s="22"/>
      <c r="M56" s="23"/>
      <c r="Q56" s="15"/>
      <c r="R56" s="2" t="s">
        <v>257</v>
      </c>
    </row>
    <row r="57" spans="1:18" x14ac:dyDescent="0.2">
      <c r="A57" s="1" t="s">
        <v>20</v>
      </c>
      <c r="B57" s="2" t="s">
        <v>253</v>
      </c>
      <c r="K57" s="22"/>
      <c r="R57" s="2" t="s">
        <v>254</v>
      </c>
    </row>
    <row r="58" spans="1:18" x14ac:dyDescent="0.2">
      <c r="A58" s="1" t="s">
        <v>21</v>
      </c>
      <c r="K58" s="22"/>
    </row>
    <row r="59" spans="1:18" x14ac:dyDescent="0.2">
      <c r="A59" s="1" t="s">
        <v>22</v>
      </c>
      <c r="K59" s="22"/>
    </row>
    <row r="60" spans="1:18" x14ac:dyDescent="0.2">
      <c r="A60" s="1" t="s">
        <v>23</v>
      </c>
      <c r="K60" s="22"/>
    </row>
    <row r="61" spans="1:18" x14ac:dyDescent="0.2">
      <c r="A61" s="1" t="s">
        <v>24</v>
      </c>
      <c r="K61" s="22"/>
    </row>
    <row r="62" spans="1:18" x14ac:dyDescent="0.2">
      <c r="A62" s="1" t="s">
        <v>25</v>
      </c>
      <c r="K62" s="22"/>
    </row>
    <row r="65" spans="14:14" x14ac:dyDescent="0.2">
      <c r="N65" s="2">
        <f>250000/1100000</f>
        <v>0.22727272727272727</v>
      </c>
    </row>
  </sheetData>
  <pageMargins left="0.7" right="0.7" top="0.75" bottom="0.75" header="0.3" footer="0.3"/>
  <pageSetup scale="31" fitToHeight="0" orientation="landscape" horizontalDpi="1200" verticalDpi="12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L18"/>
  <sheetViews>
    <sheetView workbookViewId="0">
      <selection activeCell="F28" sqref="F28"/>
    </sheetView>
  </sheetViews>
  <sheetFormatPr defaultColWidth="9.140625" defaultRowHeight="12.75" x14ac:dyDescent="0.2"/>
  <cols>
    <col min="1" max="1" width="9.140625" style="43"/>
    <col min="2" max="2" width="9.42578125" style="43" customWidth="1"/>
    <col min="3" max="3" width="42.7109375" style="43" customWidth="1"/>
    <col min="4" max="4" width="14.85546875" style="43" customWidth="1"/>
    <col min="5" max="5" width="14" style="43" customWidth="1"/>
    <col min="6" max="6" width="16.42578125" style="43" customWidth="1"/>
    <col min="7" max="7" width="15.42578125" style="43" customWidth="1"/>
    <col min="8" max="8" width="10.7109375" style="43" customWidth="1"/>
    <col min="9" max="16384" width="9.140625" style="43"/>
  </cols>
  <sheetData>
    <row r="1" spans="2:12" x14ac:dyDescent="0.2">
      <c r="B1" s="45"/>
      <c r="C1" s="45"/>
      <c r="D1" s="45" t="s">
        <v>161</v>
      </c>
      <c r="E1" s="45"/>
      <c r="F1" s="45" t="s">
        <v>110</v>
      </c>
      <c r="G1" s="45"/>
      <c r="H1" s="45" t="s">
        <v>121</v>
      </c>
    </row>
    <row r="2" spans="2:12" x14ac:dyDescent="0.2">
      <c r="B2" s="45"/>
      <c r="C2" s="45" t="s">
        <v>30</v>
      </c>
      <c r="D2" s="45" t="s">
        <v>112</v>
      </c>
      <c r="E2" s="45" t="s">
        <v>115</v>
      </c>
      <c r="F2" s="45" t="s">
        <v>112</v>
      </c>
      <c r="G2" s="45" t="s">
        <v>115</v>
      </c>
      <c r="H2" s="45"/>
    </row>
    <row r="3" spans="2:12" x14ac:dyDescent="0.2">
      <c r="B3" s="45" t="s">
        <v>0</v>
      </c>
      <c r="C3" s="43" t="s">
        <v>244</v>
      </c>
      <c r="D3" s="43" t="s">
        <v>286</v>
      </c>
      <c r="E3" s="81" t="s">
        <v>129</v>
      </c>
      <c r="F3" s="43" t="s">
        <v>120</v>
      </c>
      <c r="G3" s="66">
        <v>8.6884615384615387</v>
      </c>
      <c r="H3" s="82" t="s">
        <v>130</v>
      </c>
      <c r="J3" s="46">
        <f>+AVERAGE(7.2,8.5)*40*52</f>
        <v>16328</v>
      </c>
      <c r="L3" s="46">
        <f t="shared" ref="L3:L10" si="0">+G3*40*52</f>
        <v>18072</v>
      </c>
    </row>
    <row r="4" spans="2:12" x14ac:dyDescent="0.2">
      <c r="B4" s="45" t="s">
        <v>6</v>
      </c>
      <c r="C4" s="43" t="s">
        <v>243</v>
      </c>
      <c r="D4" s="43" t="s">
        <v>119</v>
      </c>
      <c r="E4" s="43">
        <v>16.900000000000002</v>
      </c>
      <c r="F4" s="43" t="s">
        <v>119</v>
      </c>
      <c r="G4" s="66">
        <v>18.357300000000002</v>
      </c>
      <c r="H4" s="82">
        <v>8.6230769230769333E-2</v>
      </c>
      <c r="J4" s="46">
        <f t="shared" ref="J4:J10" si="1">+E4*40*52</f>
        <v>35152.000000000007</v>
      </c>
      <c r="L4" s="46">
        <f t="shared" si="0"/>
        <v>38183.184000000008</v>
      </c>
    </row>
    <row r="5" spans="2:12" x14ac:dyDescent="0.2">
      <c r="B5" s="45" t="s">
        <v>10</v>
      </c>
      <c r="C5" s="43" t="s">
        <v>244</v>
      </c>
      <c r="D5" s="43" t="s">
        <v>286</v>
      </c>
      <c r="E5" s="43">
        <v>8.6</v>
      </c>
      <c r="F5" s="43" t="s">
        <v>120</v>
      </c>
      <c r="G5" s="66">
        <v>8.6538461538461551</v>
      </c>
      <c r="H5" s="82">
        <v>6.2611806797854275E-3</v>
      </c>
      <c r="J5" s="46">
        <f t="shared" si="1"/>
        <v>17888</v>
      </c>
      <c r="L5" s="46">
        <f t="shared" si="0"/>
        <v>18000</v>
      </c>
    </row>
    <row r="6" spans="2:12" x14ac:dyDescent="0.2">
      <c r="B6" s="45" t="s">
        <v>14</v>
      </c>
      <c r="C6" s="43" t="s">
        <v>31</v>
      </c>
      <c r="D6" s="43" t="s">
        <v>113</v>
      </c>
      <c r="E6" s="43">
        <v>7.4</v>
      </c>
      <c r="F6" s="43" t="s">
        <v>119</v>
      </c>
      <c r="G6" s="43">
        <v>10</v>
      </c>
      <c r="H6" s="82">
        <v>0.35135135135135132</v>
      </c>
      <c r="J6" s="46">
        <f t="shared" si="1"/>
        <v>15392</v>
      </c>
      <c r="L6" s="46">
        <f t="shared" si="0"/>
        <v>20800</v>
      </c>
    </row>
    <row r="7" spans="2:12" x14ac:dyDescent="0.2">
      <c r="B7" s="45" t="s">
        <v>19</v>
      </c>
      <c r="C7" s="43" t="s">
        <v>245</v>
      </c>
      <c r="D7" s="43" t="s">
        <v>119</v>
      </c>
      <c r="E7" s="43">
        <v>11.7</v>
      </c>
      <c r="F7" s="43" t="s">
        <v>119</v>
      </c>
      <c r="G7" s="43">
        <v>15</v>
      </c>
      <c r="H7" s="82">
        <v>0.28205128205128216</v>
      </c>
      <c r="J7" s="46">
        <f t="shared" si="1"/>
        <v>24336</v>
      </c>
      <c r="L7" s="46">
        <f t="shared" si="0"/>
        <v>31200</v>
      </c>
    </row>
    <row r="8" spans="2:12" x14ac:dyDescent="0.2">
      <c r="B8" s="45" t="s">
        <v>250</v>
      </c>
      <c r="C8" s="43" t="s">
        <v>251</v>
      </c>
      <c r="D8" s="43" t="s">
        <v>119</v>
      </c>
      <c r="E8" s="43">
        <v>12</v>
      </c>
      <c r="F8" s="43" t="s">
        <v>119</v>
      </c>
      <c r="G8" s="43">
        <v>13</v>
      </c>
      <c r="H8" s="82">
        <v>8.3333333333333259E-2</v>
      </c>
      <c r="J8" s="46">
        <f t="shared" si="1"/>
        <v>24960</v>
      </c>
      <c r="L8" s="46">
        <f t="shared" si="0"/>
        <v>27040</v>
      </c>
    </row>
    <row r="9" spans="2:12" x14ac:dyDescent="0.2">
      <c r="B9" s="45" t="s">
        <v>23</v>
      </c>
      <c r="C9" s="43" t="s">
        <v>244</v>
      </c>
      <c r="D9" s="43" t="s">
        <v>286</v>
      </c>
      <c r="E9" s="43">
        <v>10.89</v>
      </c>
      <c r="F9" s="43" t="s">
        <v>119</v>
      </c>
      <c r="G9" s="57">
        <v>12.870000000000001</v>
      </c>
      <c r="H9" s="82">
        <v>0.18181818181818188</v>
      </c>
      <c r="J9" s="46">
        <f t="shared" si="1"/>
        <v>22651.200000000001</v>
      </c>
      <c r="L9" s="46">
        <f t="shared" si="0"/>
        <v>26769.600000000002</v>
      </c>
    </row>
    <row r="10" spans="2:12" x14ac:dyDescent="0.2">
      <c r="B10" s="45" t="s">
        <v>156</v>
      </c>
      <c r="E10" s="57">
        <f>+AVERAGE(E3:E9,7.85)</f>
        <v>10.762857142857142</v>
      </c>
      <c r="G10" s="57">
        <f>+AVERAGE(G3:G9)</f>
        <v>12.367086813186814</v>
      </c>
      <c r="H10" s="70">
        <f>+AVERAGE(H4:H9,11%)</f>
        <v>0.15729229978067191</v>
      </c>
      <c r="J10" s="46">
        <f t="shared" si="1"/>
        <v>22386.742857142854</v>
      </c>
      <c r="L10" s="46">
        <f t="shared" si="0"/>
        <v>25723.540571428573</v>
      </c>
    </row>
    <row r="12" spans="2:12" x14ac:dyDescent="0.2">
      <c r="B12" s="45"/>
      <c r="C12" s="45"/>
      <c r="D12" s="45" t="s">
        <v>161</v>
      </c>
      <c r="E12" s="45"/>
      <c r="F12" s="45" t="s">
        <v>110</v>
      </c>
      <c r="G12" s="45"/>
      <c r="H12" s="45" t="s">
        <v>121</v>
      </c>
    </row>
    <row r="13" spans="2:12" x14ac:dyDescent="0.2">
      <c r="B13" s="45"/>
      <c r="C13" s="45" t="s">
        <v>375</v>
      </c>
      <c r="D13" s="45" t="s">
        <v>112</v>
      </c>
      <c r="E13" s="45" t="s">
        <v>115</v>
      </c>
      <c r="F13" s="45" t="s">
        <v>112</v>
      </c>
      <c r="G13" s="45" t="s">
        <v>115</v>
      </c>
      <c r="H13" s="45"/>
    </row>
    <row r="14" spans="2:12" x14ac:dyDescent="0.2">
      <c r="B14" s="45" t="s">
        <v>0</v>
      </c>
      <c r="C14" s="43" t="s">
        <v>92</v>
      </c>
      <c r="D14" s="43" t="s">
        <v>135</v>
      </c>
      <c r="E14" s="83">
        <f>+'Collective Agreements'!M35</f>
        <v>6.9230769230769234</v>
      </c>
      <c r="F14" s="43" t="s">
        <v>135</v>
      </c>
      <c r="G14" s="66">
        <f>+'Collective Agreements'!E35</f>
        <v>14.36</v>
      </c>
      <c r="H14" s="82">
        <f>+G14/E14-1</f>
        <v>1.0742222222222222</v>
      </c>
    </row>
    <row r="15" spans="2:12" x14ac:dyDescent="0.2">
      <c r="B15" s="45" t="s">
        <v>5</v>
      </c>
      <c r="C15" s="43" t="s">
        <v>92</v>
      </c>
      <c r="D15" s="43" t="s">
        <v>248</v>
      </c>
      <c r="E15" s="66">
        <f>+'Collective Agreements'!M40</f>
        <v>9.3333333333333321</v>
      </c>
      <c r="F15" s="43" t="s">
        <v>248</v>
      </c>
      <c r="G15" s="66">
        <f>+'Collective Agreements'!E40</f>
        <v>11.111111111111111</v>
      </c>
      <c r="H15" s="82">
        <f>+G15/E15-1</f>
        <v>0.19047619047619069</v>
      </c>
    </row>
    <row r="16" spans="2:12" x14ac:dyDescent="0.2">
      <c r="B16" s="45" t="s">
        <v>19</v>
      </c>
      <c r="C16" s="43" t="s">
        <v>133</v>
      </c>
      <c r="E16" s="66">
        <f>+'Collective Agreements'!M55</f>
        <v>54.230769230769234</v>
      </c>
      <c r="G16" s="66">
        <f>+'Collective Agreements'!E55</f>
        <v>38.942307692307693</v>
      </c>
      <c r="H16" s="82">
        <f>+G16/E16-1</f>
        <v>-0.28191489361702127</v>
      </c>
    </row>
    <row r="18" spans="2:2" x14ac:dyDescent="0.2">
      <c r="B18" s="58" t="s">
        <v>376</v>
      </c>
    </row>
  </sheetData>
  <pageMargins left="0.7" right="0.7" top="0.75" bottom="0.75" header="0.3" footer="0.3"/>
  <pageSetup scale="54" fitToHeight="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30"/>
  <sheetViews>
    <sheetView workbookViewId="0">
      <selection activeCell="M15" sqref="M15"/>
    </sheetView>
  </sheetViews>
  <sheetFormatPr defaultColWidth="9.140625" defaultRowHeight="11.25" x14ac:dyDescent="0.2"/>
  <cols>
    <col min="1" max="1" width="4.5703125" style="2" customWidth="1"/>
    <col min="2" max="2" width="12.7109375" style="2" customWidth="1"/>
    <col min="3" max="3" width="19.5703125" style="2" customWidth="1"/>
    <col min="4" max="5" width="12.7109375" style="2" customWidth="1"/>
    <col min="6" max="7" width="9.140625" style="2"/>
    <col min="8" max="8" width="28.28515625" style="2" customWidth="1"/>
    <col min="9" max="14" width="10.7109375" style="2" customWidth="1"/>
    <col min="15" max="16384" width="9.140625" style="2"/>
  </cols>
  <sheetData>
    <row r="1" spans="1:16" x14ac:dyDescent="0.2">
      <c r="B1" s="2" t="s">
        <v>294</v>
      </c>
    </row>
    <row r="2" spans="1:16" x14ac:dyDescent="0.2">
      <c r="A2" s="3"/>
      <c r="B2" s="5"/>
      <c r="C2" s="5"/>
      <c r="D2" s="5"/>
      <c r="E2" s="5"/>
      <c r="H2" s="39"/>
      <c r="I2" s="198" t="s">
        <v>297</v>
      </c>
      <c r="J2" s="198"/>
      <c r="K2" s="198"/>
      <c r="L2" s="198" t="s">
        <v>305</v>
      </c>
      <c r="M2" s="198"/>
      <c r="N2" s="198"/>
    </row>
    <row r="3" spans="1:16" ht="45" x14ac:dyDescent="0.2">
      <c r="A3" s="3"/>
      <c r="B3" s="39" t="s">
        <v>295</v>
      </c>
      <c r="C3" s="39" t="s">
        <v>296</v>
      </c>
      <c r="D3" s="39" t="s">
        <v>291</v>
      </c>
      <c r="E3" s="39" t="s">
        <v>292</v>
      </c>
      <c r="H3" s="39"/>
      <c r="I3" s="39" t="s">
        <v>330</v>
      </c>
      <c r="J3" s="39" t="s">
        <v>303</v>
      </c>
      <c r="K3" s="39" t="s">
        <v>304</v>
      </c>
      <c r="L3" s="39" t="s">
        <v>330</v>
      </c>
      <c r="M3" s="39" t="s">
        <v>303</v>
      </c>
      <c r="N3" s="39" t="s">
        <v>304</v>
      </c>
      <c r="P3" s="2" t="s">
        <v>329</v>
      </c>
    </row>
    <row r="4" spans="1:16" x14ac:dyDescent="0.2">
      <c r="A4" s="3" t="s">
        <v>0</v>
      </c>
      <c r="B4" s="15">
        <v>0.22807799893703373</v>
      </c>
      <c r="C4" s="15">
        <v>0.11739048473681668</v>
      </c>
      <c r="D4" s="15">
        <v>0.48530553019616296</v>
      </c>
      <c r="E4" s="23">
        <v>3.1492195924619111</v>
      </c>
      <c r="H4" s="3" t="s">
        <v>298</v>
      </c>
      <c r="I4" s="6">
        <v>10000</v>
      </c>
      <c r="J4" s="6">
        <f>+I4*1.4</f>
        <v>14000</v>
      </c>
      <c r="K4" s="6">
        <f>+J4/$P$4</f>
        <v>5600</v>
      </c>
      <c r="L4" s="6">
        <v>15000</v>
      </c>
      <c r="M4" s="6">
        <f>+L4*1.4</f>
        <v>21000</v>
      </c>
      <c r="N4" s="6">
        <f>+M4/$P$4</f>
        <v>8400</v>
      </c>
      <c r="P4" s="2">
        <f>1+3*0.5</f>
        <v>2.5</v>
      </c>
    </row>
    <row r="5" spans="1:16" x14ac:dyDescent="0.2">
      <c r="A5" s="3" t="s">
        <v>1</v>
      </c>
      <c r="B5" s="15">
        <v>0.17537169386792353</v>
      </c>
      <c r="C5" s="15">
        <v>8.8197873868436832E-2</v>
      </c>
      <c r="D5" s="15">
        <v>0.49708033307324567</v>
      </c>
      <c r="E5" s="23">
        <v>4.4046619047024738</v>
      </c>
      <c r="H5" s="3" t="s">
        <v>299</v>
      </c>
      <c r="I5" s="6">
        <v>15000</v>
      </c>
      <c r="J5" s="6">
        <f>+I5</f>
        <v>15000</v>
      </c>
      <c r="K5" s="6">
        <f>+J5/$P$4</f>
        <v>6000</v>
      </c>
      <c r="L5" s="6">
        <v>10000</v>
      </c>
      <c r="M5" s="6">
        <f>+L5</f>
        <v>10000</v>
      </c>
      <c r="N5" s="6">
        <f>+M5/$P$4</f>
        <v>4000</v>
      </c>
    </row>
    <row r="6" spans="1:16" x14ac:dyDescent="0.2">
      <c r="A6" s="3" t="s">
        <v>2</v>
      </c>
      <c r="B6" s="15">
        <v>0.58887692830285188</v>
      </c>
      <c r="C6" s="15">
        <v>0.49564357936418291</v>
      </c>
      <c r="D6" s="15">
        <v>0.15832399684492351</v>
      </c>
      <c r="E6" s="23">
        <v>4.0615613525109575</v>
      </c>
      <c r="H6" s="3" t="s">
        <v>300</v>
      </c>
      <c r="I6" s="6">
        <v>2000</v>
      </c>
      <c r="J6" s="6">
        <f t="shared" ref="J6:J7" si="0">+I6</f>
        <v>2000</v>
      </c>
      <c r="K6" s="6">
        <f>+J6/$P$4</f>
        <v>800</v>
      </c>
      <c r="L6" s="6">
        <v>2000</v>
      </c>
      <c r="M6" s="6">
        <f t="shared" ref="M6:M7" si="1">+L6</f>
        <v>2000</v>
      </c>
      <c r="N6" s="6">
        <f>+M6/$P$4</f>
        <v>800</v>
      </c>
    </row>
    <row r="7" spans="1:16" x14ac:dyDescent="0.2">
      <c r="A7" s="3" t="s">
        <v>3</v>
      </c>
      <c r="B7" s="15">
        <v>0.25137521215291175</v>
      </c>
      <c r="C7" s="15">
        <v>0.14991593476858592</v>
      </c>
      <c r="D7" s="15">
        <v>0.4036168742151397</v>
      </c>
      <c r="E7" s="23">
        <v>4.8212602382417922</v>
      </c>
      <c r="H7" s="3" t="s">
        <v>301</v>
      </c>
      <c r="I7" s="6">
        <v>0</v>
      </c>
      <c r="J7" s="6">
        <f t="shared" si="0"/>
        <v>0</v>
      </c>
      <c r="K7" s="6">
        <f>+J7/$P$4</f>
        <v>0</v>
      </c>
      <c r="L7" s="6">
        <v>0</v>
      </c>
      <c r="M7" s="6">
        <f t="shared" si="1"/>
        <v>0</v>
      </c>
      <c r="N7" s="6">
        <f>+M7/$P$4</f>
        <v>0</v>
      </c>
    </row>
    <row r="8" spans="1:16" x14ac:dyDescent="0.2">
      <c r="A8" s="3" t="s">
        <v>4</v>
      </c>
      <c r="B8" s="15">
        <v>0.3742265605151936</v>
      </c>
      <c r="C8" s="15">
        <v>0.21386616105142711</v>
      </c>
      <c r="D8" s="15">
        <v>0.42851153922105389</v>
      </c>
      <c r="E8" s="23">
        <v>4.1199564224549938</v>
      </c>
      <c r="H8" s="3" t="s">
        <v>302</v>
      </c>
      <c r="I8" s="6">
        <f>+SUM(I4:I7)</f>
        <v>27000</v>
      </c>
      <c r="J8" s="6">
        <f>+SUM(J4:J7)</f>
        <v>31000</v>
      </c>
      <c r="K8" s="6">
        <f>+J8/$P$4</f>
        <v>12400</v>
      </c>
      <c r="L8" s="6">
        <f>+SUM(L4:L7)</f>
        <v>27000</v>
      </c>
      <c r="M8" s="6">
        <f>+SUM(M4:M7)</f>
        <v>33000</v>
      </c>
      <c r="N8" s="6">
        <f>+M8/$P$4</f>
        <v>13200</v>
      </c>
    </row>
    <row r="9" spans="1:16" x14ac:dyDescent="0.2">
      <c r="A9" s="3" t="s">
        <v>6</v>
      </c>
      <c r="B9" s="15">
        <v>8.2669755146540611E-2</v>
      </c>
      <c r="C9" s="15">
        <v>6.2025087186345196E-2</v>
      </c>
      <c r="D9" s="15">
        <v>0.24972455674509531</v>
      </c>
      <c r="E9" s="23">
        <v>4.5016231159254332</v>
      </c>
      <c r="H9" s="3" t="s">
        <v>331</v>
      </c>
      <c r="I9" s="6"/>
      <c r="K9" s="6">
        <v>13000</v>
      </c>
      <c r="L9" s="6"/>
      <c r="N9" s="6">
        <v>13000</v>
      </c>
    </row>
    <row r="10" spans="1:16" x14ac:dyDescent="0.2">
      <c r="A10" s="3" t="s">
        <v>7</v>
      </c>
      <c r="B10" s="15">
        <v>0.40527614359670483</v>
      </c>
      <c r="C10" s="15">
        <v>0.35689627538362839</v>
      </c>
      <c r="D10" s="15">
        <v>0.11937507049815355</v>
      </c>
      <c r="E10" s="23">
        <v>3.001685205753954</v>
      </c>
      <c r="H10" s="3" t="s">
        <v>332</v>
      </c>
      <c r="K10" s="2">
        <v>0</v>
      </c>
      <c r="N10" s="2">
        <v>4</v>
      </c>
    </row>
    <row r="11" spans="1:16" x14ac:dyDescent="0.2">
      <c r="A11" s="3" t="s">
        <v>293</v>
      </c>
      <c r="B11" s="15">
        <v>0.32551828282302858</v>
      </c>
      <c r="C11" s="15">
        <v>0.21672480321016988</v>
      </c>
      <c r="D11" s="15">
        <v>0.3342161880105684</v>
      </c>
      <c r="E11" s="23">
        <v>4.1629031859583305</v>
      </c>
    </row>
    <row r="12" spans="1:16" ht="22.5" x14ac:dyDescent="0.2">
      <c r="A12" s="3" t="s">
        <v>8</v>
      </c>
      <c r="B12" s="15">
        <v>8.0530176455788305E-2</v>
      </c>
      <c r="C12" s="15">
        <v>5.0610404918578995E-2</v>
      </c>
      <c r="D12" s="15">
        <v>0.37153490596950944</v>
      </c>
      <c r="E12" s="23">
        <v>4.7965329514970598</v>
      </c>
      <c r="H12" s="39"/>
      <c r="I12" s="39" t="s">
        <v>308</v>
      </c>
      <c r="J12" s="39" t="s">
        <v>310</v>
      </c>
      <c r="K12" s="39" t="s">
        <v>291</v>
      </c>
      <c r="L12" s="39" t="s">
        <v>145</v>
      </c>
      <c r="M12" s="39" t="s">
        <v>307</v>
      </c>
      <c r="N12" s="39" t="s">
        <v>309</v>
      </c>
    </row>
    <row r="13" spans="1:16" x14ac:dyDescent="0.2">
      <c r="A13" s="3" t="s">
        <v>9</v>
      </c>
      <c r="B13" s="15">
        <v>0.20122691990479682</v>
      </c>
      <c r="C13" s="15">
        <v>0.132040580344428</v>
      </c>
      <c r="D13" s="15">
        <v>0.34382248455177772</v>
      </c>
      <c r="E13" s="23">
        <v>4.0138886041212984</v>
      </c>
      <c r="H13" s="3" t="s">
        <v>311</v>
      </c>
      <c r="I13" s="15">
        <f>+M13/L13</f>
        <v>0.1725154550326895</v>
      </c>
      <c r="J13" s="15">
        <f>+(M13-N13)/L13</f>
        <v>0.10075470151968718</v>
      </c>
      <c r="K13" s="15">
        <f>+N13/M13</f>
        <v>0.41596709987174513</v>
      </c>
      <c r="L13" s="6">
        <v>2744139.7472932339</v>
      </c>
      <c r="M13" s="6">
        <v>473406.51717758179</v>
      </c>
      <c r="N13" s="6">
        <v>196921.53601074219</v>
      </c>
    </row>
    <row r="14" spans="1:16" x14ac:dyDescent="0.2">
      <c r="A14" s="3" t="s">
        <v>10</v>
      </c>
      <c r="B14" s="15">
        <v>0.34195948555249861</v>
      </c>
      <c r="C14" s="15">
        <v>0.18989785534514336</v>
      </c>
      <c r="D14" s="15">
        <v>0.4446773276713516</v>
      </c>
      <c r="E14" s="23">
        <v>4.3846195265777839</v>
      </c>
      <c r="H14" s="3" t="s">
        <v>313</v>
      </c>
      <c r="I14" s="15">
        <f>+M14/L14</f>
        <v>0.34609341284857137</v>
      </c>
      <c r="J14" s="15">
        <f>+(M14-N14)/L14</f>
        <v>0.24110044816848125</v>
      </c>
      <c r="K14" s="15">
        <f>+N14/M14</f>
        <v>0.3033659722556708</v>
      </c>
      <c r="L14" s="6">
        <f>+L15-L13</f>
        <v>7195296.8079614639</v>
      </c>
      <c r="M14" s="6">
        <f>+M15-M13</f>
        <v>2490244.8287258148</v>
      </c>
      <c r="N14" s="6">
        <f>+N15-N13</f>
        <v>755455.54362106323</v>
      </c>
    </row>
    <row r="15" spans="1:16" x14ac:dyDescent="0.2">
      <c r="A15" s="3" t="s">
        <v>26</v>
      </c>
      <c r="B15" s="15">
        <v>0.48082107488991166</v>
      </c>
      <c r="C15" s="15">
        <v>0.30783253433672347</v>
      </c>
      <c r="D15" s="15">
        <v>0.35977736748081496</v>
      </c>
      <c r="E15" s="23">
        <v>4.7890149665323873</v>
      </c>
      <c r="H15" s="3" t="s">
        <v>312</v>
      </c>
      <c r="I15" s="15">
        <f>+M15/L15</f>
        <v>0.29817096064027876</v>
      </c>
      <c r="J15" s="15">
        <f>+(M15-N15)/L15</f>
        <v>0.20235294577219146</v>
      </c>
      <c r="K15" s="15">
        <f>+N15/M15</f>
        <v>0.32135260476852634</v>
      </c>
      <c r="L15" s="6">
        <v>9939436.5552546978</v>
      </c>
      <c r="M15" s="6">
        <v>2963651.3459033966</v>
      </c>
      <c r="N15" s="6">
        <v>952377.07963180542</v>
      </c>
    </row>
    <row r="16" spans="1:16" x14ac:dyDescent="0.2">
      <c r="A16" s="3" t="s">
        <v>12</v>
      </c>
      <c r="B16" s="15">
        <v>0.31344712290352156</v>
      </c>
      <c r="C16" s="15">
        <v>0.17378525589171115</v>
      </c>
      <c r="D16" s="15">
        <v>0.44556755129252879</v>
      </c>
      <c r="E16" s="23">
        <v>3.7055142156651897</v>
      </c>
    </row>
    <row r="17" spans="1:8" x14ac:dyDescent="0.2">
      <c r="A17" s="3" t="s">
        <v>13</v>
      </c>
      <c r="B17" s="15">
        <v>8.2818001372098313E-2</v>
      </c>
      <c r="C17" s="15">
        <v>4.8906801572169312E-2</v>
      </c>
      <c r="D17" s="15">
        <v>0.40946653189041832</v>
      </c>
      <c r="E17" s="23">
        <v>5.2570973010309583</v>
      </c>
      <c r="H17" s="2" t="s">
        <v>327</v>
      </c>
    </row>
    <row r="18" spans="1:8" x14ac:dyDescent="0.2">
      <c r="A18" s="3" t="s">
        <v>14</v>
      </c>
      <c r="B18" s="15">
        <v>0.2311167867408194</v>
      </c>
      <c r="C18" s="15">
        <v>0.15282054334763753</v>
      </c>
      <c r="D18" s="15">
        <v>0.33877350277020502</v>
      </c>
      <c r="E18" s="23">
        <v>3.7565158419735241</v>
      </c>
      <c r="H18" s="2" t="s">
        <v>328</v>
      </c>
    </row>
    <row r="19" spans="1:8" x14ac:dyDescent="0.2">
      <c r="A19" s="3" t="s">
        <v>15</v>
      </c>
      <c r="B19" s="15">
        <v>0.4519758877979751</v>
      </c>
      <c r="C19" s="15">
        <v>0.40248788665251195</v>
      </c>
      <c r="D19" s="15">
        <v>0.10949256914250119</v>
      </c>
      <c r="E19" s="23">
        <v>4.2811301715969297</v>
      </c>
    </row>
    <row r="20" spans="1:8" x14ac:dyDescent="0.2">
      <c r="A20" s="3" t="s">
        <v>16</v>
      </c>
      <c r="B20" s="15">
        <v>0.15644124740771079</v>
      </c>
      <c r="C20" s="15">
        <v>0.11143815180016364</v>
      </c>
      <c r="D20" s="15">
        <v>0.28766771138216457</v>
      </c>
      <c r="E20" s="23">
        <v>4.6999223954832781</v>
      </c>
    </row>
    <row r="21" spans="1:8" x14ac:dyDescent="0.2">
      <c r="A21" s="3" t="s">
        <v>17</v>
      </c>
      <c r="B21" s="15">
        <v>0.47085442429196656</v>
      </c>
      <c r="C21" s="15">
        <v>0.39167316831149668</v>
      </c>
      <c r="D21" s="15">
        <v>0.16816504612765687</v>
      </c>
      <c r="E21" s="23">
        <v>3.5323045956252002</v>
      </c>
    </row>
    <row r="22" spans="1:8" x14ac:dyDescent="0.2">
      <c r="A22" s="3" t="s">
        <v>18</v>
      </c>
      <c r="B22" s="15">
        <v>0.36044310975297328</v>
      </c>
      <c r="C22" s="15">
        <v>0.20721739535471639</v>
      </c>
      <c r="D22" s="15">
        <v>0.42510374106823368</v>
      </c>
      <c r="E22" s="23">
        <v>4.0473257030054759</v>
      </c>
    </row>
    <row r="23" spans="1:8" x14ac:dyDescent="0.2">
      <c r="A23" s="3" t="s">
        <v>19</v>
      </c>
      <c r="B23" s="15">
        <v>0.15442690081625707</v>
      </c>
      <c r="C23" s="15">
        <v>0.10292002055369982</v>
      </c>
      <c r="D23" s="15">
        <v>0.33353567280251301</v>
      </c>
      <c r="E23" s="23">
        <v>3.7514820376936955</v>
      </c>
    </row>
    <row r="24" spans="1:8" x14ac:dyDescent="0.2">
      <c r="A24" s="3" t="s">
        <v>20</v>
      </c>
      <c r="B24" s="15">
        <v>0.58299206003270876</v>
      </c>
      <c r="C24" s="15">
        <v>0.4405075515542331</v>
      </c>
      <c r="D24" s="15">
        <v>0.24440214240736241</v>
      </c>
      <c r="E24" s="23">
        <v>4.7934585237535989</v>
      </c>
    </row>
    <row r="25" spans="1:8" x14ac:dyDescent="0.2">
      <c r="A25" s="3" t="s">
        <v>21</v>
      </c>
      <c r="B25" s="15">
        <v>0.34218039124018779</v>
      </c>
      <c r="C25" s="15">
        <v>0.21147560821519612</v>
      </c>
      <c r="D25" s="15">
        <v>0.38197625103901889</v>
      </c>
      <c r="E25" s="23">
        <v>3.6827792115531488</v>
      </c>
    </row>
    <row r="26" spans="1:8" x14ac:dyDescent="0.2">
      <c r="A26" s="3" t="s">
        <v>22</v>
      </c>
      <c r="B26" s="15">
        <v>0.70022622523769706</v>
      </c>
      <c r="C26" s="15">
        <v>0.59071000172543509</v>
      </c>
      <c r="D26" s="15">
        <v>0.15640120230442078</v>
      </c>
      <c r="E26" s="23">
        <v>4.8985457469565921</v>
      </c>
    </row>
    <row r="27" spans="1:8" x14ac:dyDescent="0.2">
      <c r="A27" s="3" t="s">
        <v>23</v>
      </c>
      <c r="B27" s="15">
        <v>0.1713282330724927</v>
      </c>
      <c r="C27" s="15">
        <v>0.12054598340103936</v>
      </c>
      <c r="D27" s="15">
        <v>0.2964032766856719</v>
      </c>
      <c r="E27" s="23">
        <v>2.8806907590637727</v>
      </c>
    </row>
    <row r="28" spans="1:8" x14ac:dyDescent="0.2">
      <c r="A28" s="3" t="s">
        <v>24</v>
      </c>
      <c r="B28" s="15">
        <v>0.49646854937548629</v>
      </c>
      <c r="C28" s="15">
        <v>0.3916019058166344</v>
      </c>
      <c r="D28" s="15">
        <v>0.21122514948986174</v>
      </c>
      <c r="E28" s="23">
        <v>3.9272750723536136</v>
      </c>
    </row>
    <row r="29" spans="1:8" x14ac:dyDescent="0.2">
      <c r="A29" s="3" t="s">
        <v>25</v>
      </c>
      <c r="B29" s="15">
        <v>0.56182522410208757</v>
      </c>
      <c r="C29" s="15">
        <v>0.35846020695050967</v>
      </c>
      <c r="D29" s="15">
        <v>0.3619720304950656</v>
      </c>
      <c r="E29" s="23">
        <v>4.8741651058922884</v>
      </c>
    </row>
    <row r="30" spans="1:8" x14ac:dyDescent="0.2">
      <c r="A30" s="3" t="s">
        <v>72</v>
      </c>
      <c r="B30" s="15">
        <v>0.29817096064027876</v>
      </c>
      <c r="C30" s="15">
        <v>0.20235294577219146</v>
      </c>
      <c r="D30" s="15">
        <v>0.32135260476852628</v>
      </c>
      <c r="E30" s="23">
        <v>4.1936082453920775</v>
      </c>
    </row>
  </sheetData>
  <mergeCells count="2">
    <mergeCell ref="I2:K2"/>
    <mergeCell ref="L2:N2"/>
  </mergeCells>
  <pageMargins left="0.7" right="0.7" top="0.75" bottom="0.75" header="0.3" footer="0.3"/>
  <pageSetup scale="54" fitToHeight="0" orientation="landscape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</sheetPr>
  <dimension ref="A1:N35"/>
  <sheetViews>
    <sheetView workbookViewId="0">
      <selection activeCell="F21" sqref="F21"/>
    </sheetView>
  </sheetViews>
  <sheetFormatPr defaultColWidth="9.140625" defaultRowHeight="12.75" x14ac:dyDescent="0.2"/>
  <cols>
    <col min="1" max="1" width="5.5703125" style="43" customWidth="1"/>
    <col min="2" max="2" width="27" style="43" customWidth="1"/>
    <col min="3" max="3" width="11.7109375" style="43" customWidth="1"/>
    <col min="4" max="4" width="19.7109375" style="43" customWidth="1"/>
    <col min="5" max="5" width="11.7109375" style="43" customWidth="1"/>
    <col min="6" max="6" width="14" style="43" customWidth="1"/>
    <col min="7" max="7" width="9.140625" style="43"/>
    <col min="8" max="8" width="3.5703125" style="43" customWidth="1"/>
    <col min="9" max="9" width="9.140625" style="43"/>
    <col min="10" max="10" width="17.42578125" style="43" customWidth="1"/>
    <col min="11" max="11" width="26.42578125" style="43" customWidth="1"/>
    <col min="12" max="12" width="16.140625" style="43" customWidth="1"/>
    <col min="13" max="13" width="13.7109375" style="43" customWidth="1"/>
    <col min="14" max="14" width="19.140625" style="43" customWidth="1"/>
    <col min="15" max="16384" width="9.140625" style="43"/>
  </cols>
  <sheetData>
    <row r="1" spans="1:14" x14ac:dyDescent="0.2">
      <c r="A1" s="43" t="s">
        <v>333</v>
      </c>
      <c r="H1" s="44"/>
      <c r="I1" s="59"/>
      <c r="J1" s="44" t="s">
        <v>370</v>
      </c>
      <c r="K1" s="59"/>
      <c r="L1" s="59"/>
      <c r="M1" s="59"/>
      <c r="N1" s="59"/>
    </row>
    <row r="2" spans="1:14" s="60" customFormat="1" x14ac:dyDescent="0.25">
      <c r="H2" s="44"/>
      <c r="I2" s="63" t="s">
        <v>147</v>
      </c>
      <c r="J2" s="68" t="s">
        <v>314</v>
      </c>
      <c r="K2" s="63" t="s">
        <v>315</v>
      </c>
      <c r="L2" s="63" t="s">
        <v>316</v>
      </c>
      <c r="M2" s="63" t="s">
        <v>317</v>
      </c>
      <c r="N2" s="63" t="s">
        <v>318</v>
      </c>
    </row>
    <row r="3" spans="1:14" ht="38.25" x14ac:dyDescent="0.2">
      <c r="A3" s="59"/>
      <c r="B3" s="63" t="s">
        <v>338</v>
      </c>
      <c r="C3" s="63" t="s">
        <v>336</v>
      </c>
      <c r="D3" s="63" t="s">
        <v>334</v>
      </c>
      <c r="E3" s="63" t="s">
        <v>337</v>
      </c>
      <c r="F3" s="63" t="s">
        <v>335</v>
      </c>
      <c r="H3" s="45"/>
      <c r="I3" s="63" t="s">
        <v>306</v>
      </c>
      <c r="J3" s="63" t="s">
        <v>319</v>
      </c>
      <c r="K3" s="63" t="s">
        <v>371</v>
      </c>
      <c r="L3" s="63" t="s">
        <v>320</v>
      </c>
      <c r="M3" s="63" t="s">
        <v>321</v>
      </c>
      <c r="N3" s="63" t="s">
        <v>322</v>
      </c>
    </row>
    <row r="4" spans="1:14" x14ac:dyDescent="0.2">
      <c r="A4" s="59" t="s">
        <v>8</v>
      </c>
      <c r="B4" s="46">
        <v>100779.39758300781</v>
      </c>
      <c r="C4" s="46">
        <v>3708.1469342947285</v>
      </c>
      <c r="D4" s="46">
        <v>1704.1059084582857</v>
      </c>
      <c r="E4" s="46">
        <v>2004.0410258364427</v>
      </c>
      <c r="F4" s="46">
        <v>201.96604731542968</v>
      </c>
      <c r="H4" s="45" t="s">
        <v>72</v>
      </c>
      <c r="I4" s="46">
        <f>+'Price impact v2'!O4</f>
        <v>13341.279099999998</v>
      </c>
      <c r="J4" s="46">
        <f>+'Price impact v2'!H4</f>
        <v>34671.178920898077</v>
      </c>
      <c r="K4" s="66">
        <f>100*L4/J4</f>
        <v>18.642108248433036</v>
      </c>
      <c r="L4" s="46">
        <f>+SUM(L5:L31)</f>
        <v>6463.4387054417166</v>
      </c>
      <c r="M4" s="67">
        <f>+SUM(M5:M31)</f>
        <v>994.72185801636897</v>
      </c>
      <c r="N4" s="84">
        <f>+SUM(L4:M4)/(1000*I4)</f>
        <v>5.5902889877014017E-4</v>
      </c>
    </row>
    <row r="5" spans="1:14" x14ac:dyDescent="0.2">
      <c r="A5" s="59" t="s">
        <v>10</v>
      </c>
      <c r="B5" s="46">
        <v>284942.69232177734</v>
      </c>
      <c r="C5" s="46">
        <v>4287.7581523425124</v>
      </c>
      <c r="D5" s="46">
        <v>2474.8738005548166</v>
      </c>
      <c r="E5" s="46">
        <v>1812.884351787696</v>
      </c>
      <c r="F5" s="46">
        <v>516.56814806640625</v>
      </c>
      <c r="H5" s="45" t="s">
        <v>0</v>
      </c>
      <c r="I5" s="46">
        <f>+'Price impact v2'!O5</f>
        <v>377.29720000000003</v>
      </c>
      <c r="J5" s="46">
        <f>+'Price impact v2'!H5</f>
        <v>536.35793754752876</v>
      </c>
      <c r="K5" s="66">
        <v>15.236840000000001</v>
      </c>
      <c r="L5" s="46">
        <f t="shared" ref="L5:L31" si="0">+J5*K5/100</f>
        <v>81.724000771416883</v>
      </c>
      <c r="M5" s="67">
        <v>7.9205143437499999</v>
      </c>
      <c r="N5" s="84">
        <f t="shared" ref="N5:N31" si="1">+SUM(L5:M5)/(1000*I5)</f>
        <v>2.3759655548773455E-4</v>
      </c>
    </row>
    <row r="6" spans="1:14" x14ac:dyDescent="0.2">
      <c r="A6" s="59" t="s">
        <v>14</v>
      </c>
      <c r="B6" s="46">
        <v>10903.101669311523</v>
      </c>
      <c r="C6" s="46">
        <v>2777.8972411240038</v>
      </c>
      <c r="D6" s="46">
        <v>2270.5059511864288</v>
      </c>
      <c r="E6" s="46">
        <v>507.39128993757487</v>
      </c>
      <c r="F6" s="46">
        <v>5.5321388203125004</v>
      </c>
      <c r="H6" s="45" t="s">
        <v>1</v>
      </c>
      <c r="I6" s="46">
        <f>+'Price impact v2'!O6</f>
        <v>451.17690000000005</v>
      </c>
      <c r="J6" s="46">
        <f>+'Price impact v2'!H6</f>
        <v>1376.8284495539633</v>
      </c>
      <c r="K6" s="66">
        <v>25.316527000000001</v>
      </c>
      <c r="L6" s="46">
        <f t="shared" si="0"/>
        <v>348.56514617501051</v>
      </c>
      <c r="M6" s="67">
        <v>0</v>
      </c>
      <c r="N6" s="84">
        <f t="shared" si="1"/>
        <v>7.7256868907741173E-4</v>
      </c>
    </row>
    <row r="7" spans="1:14" x14ac:dyDescent="0.2">
      <c r="A7" s="59" t="s">
        <v>19</v>
      </c>
      <c r="B7" s="46">
        <v>30950.49112701416</v>
      </c>
      <c r="C7" s="46">
        <v>6890.9855449925517</v>
      </c>
      <c r="D7" s="46">
        <v>2302.2044750541054</v>
      </c>
      <c r="E7" s="46">
        <v>4588.7810699384463</v>
      </c>
      <c r="F7" s="46">
        <v>142.02502778894043</v>
      </c>
      <c r="H7" s="45" t="s">
        <v>2</v>
      </c>
      <c r="I7" s="46">
        <f>+'Price impact v2'!O7</f>
        <v>60.642699999999998</v>
      </c>
      <c r="J7" s="46">
        <f>+'Price impact v2'!H7</f>
        <v>26.726290618763979</v>
      </c>
      <c r="K7" s="66">
        <v>8.3341489744512423</v>
      </c>
      <c r="L7" s="46">
        <f t="shared" si="0"/>
        <v>2.2274088755125767</v>
      </c>
      <c r="M7" s="67">
        <v>0.76934792578125</v>
      </c>
      <c r="N7" s="84">
        <f t="shared" si="1"/>
        <v>4.9416612408316694E-5</v>
      </c>
    </row>
    <row r="8" spans="1:14" x14ac:dyDescent="0.2">
      <c r="A8" s="59" t="s">
        <v>20</v>
      </c>
      <c r="B8" s="46">
        <v>21483.885864257813</v>
      </c>
      <c r="C8" s="46">
        <v>749.8323023752024</v>
      </c>
      <c r="D8" s="46">
        <v>236.08521932655594</v>
      </c>
      <c r="E8" s="46">
        <v>513.74708304864646</v>
      </c>
      <c r="F8" s="46">
        <v>11.0372836953125</v>
      </c>
      <c r="H8" s="45" t="s">
        <v>3</v>
      </c>
      <c r="I8" s="46">
        <f>+'Price impact v2'!O8</f>
        <v>20.840700000000002</v>
      </c>
      <c r="J8" s="46">
        <f>+'Price impact v2'!H8</f>
        <v>23.508397002759136</v>
      </c>
      <c r="K8" s="66">
        <v>1.521950373069582</v>
      </c>
      <c r="L8" s="46">
        <f t="shared" si="0"/>
        <v>0.35778613588617114</v>
      </c>
      <c r="M8" s="67">
        <v>6.9110773388671873</v>
      </c>
      <c r="N8" s="84">
        <f t="shared" si="1"/>
        <v>3.4878211743143741E-4</v>
      </c>
    </row>
    <row r="9" spans="1:14" x14ac:dyDescent="0.2">
      <c r="A9" s="59" t="s">
        <v>22</v>
      </c>
      <c r="B9" s="46">
        <v>241016.31286621094</v>
      </c>
      <c r="C9" s="46">
        <v>348.70444665034597</v>
      </c>
      <c r="D9" s="46">
        <v>237.60833245292068</v>
      </c>
      <c r="E9" s="46">
        <v>111.09611419742529</v>
      </c>
      <c r="F9" s="46">
        <v>26.775975817626954</v>
      </c>
      <c r="H9" s="45" t="s">
        <v>4</v>
      </c>
      <c r="I9" s="46">
        <f>+'Price impact v2'!O9</f>
        <v>213.661</v>
      </c>
      <c r="J9" s="46">
        <f>+'Price impact v2'!H9</f>
        <v>187.4057989571676</v>
      </c>
      <c r="K9" s="66">
        <v>13.993085000000001</v>
      </c>
      <c r="L9" s="46">
        <f t="shared" si="0"/>
        <v>26.223852743005576</v>
      </c>
      <c r="M9" s="67">
        <v>2.1434699374999999</v>
      </c>
      <c r="N9" s="84">
        <f t="shared" si="1"/>
        <v>1.327679018655982E-4</v>
      </c>
    </row>
    <row r="10" spans="1:14" x14ac:dyDescent="0.2">
      <c r="A10" s="59" t="s">
        <v>72</v>
      </c>
      <c r="B10" s="46">
        <v>797436.67802190781</v>
      </c>
      <c r="C10" s="46">
        <v>2595.0988873270098</v>
      </c>
      <c r="D10" s="46">
        <v>1347.6997076406183</v>
      </c>
      <c r="E10" s="46">
        <v>1247.3991796863916</v>
      </c>
      <c r="F10" s="46">
        <v>994.72185801636897</v>
      </c>
      <c r="H10" s="45" t="s">
        <v>5</v>
      </c>
      <c r="I10" s="46">
        <f>+'Price impact v2'!O10</f>
        <v>3336.18</v>
      </c>
      <c r="J10" s="46">
        <f>+'Price impact v2'!H10</f>
        <v>2629.0590956135734</v>
      </c>
      <c r="K10" s="66">
        <v>19.236146000000002</v>
      </c>
      <c r="L10" s="46">
        <f t="shared" si="0"/>
        <v>505.7296460585066</v>
      </c>
      <c r="M10" s="87" t="s">
        <v>323</v>
      </c>
      <c r="N10" s="84">
        <f t="shared" si="1"/>
        <v>1.5158943643883322E-4</v>
      </c>
    </row>
    <row r="11" spans="1:14" x14ac:dyDescent="0.2">
      <c r="H11" s="45" t="s">
        <v>6</v>
      </c>
      <c r="I11" s="46">
        <f>+'Price impact v2'!O11</f>
        <v>311.726</v>
      </c>
      <c r="J11" s="46">
        <f>+'Price impact v2'!H11</f>
        <v>382.77116708871131</v>
      </c>
      <c r="K11" s="66">
        <v>35.556600000000003</v>
      </c>
      <c r="L11" s="46">
        <f t="shared" si="0"/>
        <v>136.10041279706473</v>
      </c>
      <c r="M11" s="67">
        <v>0</v>
      </c>
      <c r="N11" s="84">
        <f t="shared" si="1"/>
        <v>4.3660269851428734E-4</v>
      </c>
    </row>
    <row r="12" spans="1:14" x14ac:dyDescent="0.2">
      <c r="H12" s="45" t="s">
        <v>7</v>
      </c>
      <c r="I12" s="46">
        <f>+'Price impact v2'!O12</f>
        <v>27.166900000000002</v>
      </c>
      <c r="J12" s="46">
        <f>+'Price impact v2'!H12</f>
        <v>0.97800622707178231</v>
      </c>
      <c r="K12" s="66">
        <v>14.43416</v>
      </c>
      <c r="L12" s="46">
        <f t="shared" si="0"/>
        <v>0.14116698362550437</v>
      </c>
      <c r="M12" s="67">
        <v>0.750059453125</v>
      </c>
      <c r="N12" s="84">
        <f t="shared" si="1"/>
        <v>3.2805599341496614E-5</v>
      </c>
    </row>
    <row r="13" spans="1:14" x14ac:dyDescent="0.2">
      <c r="H13" s="45" t="s">
        <v>8</v>
      </c>
      <c r="I13" s="46">
        <f>+'Price impact v2'!O13</f>
        <v>1121.6980000000001</v>
      </c>
      <c r="J13" s="46">
        <f>+'Price impact v2'!H13</f>
        <v>4901.1330759134653</v>
      </c>
      <c r="K13" s="66">
        <v>15.04302</v>
      </c>
      <c r="L13" s="46">
        <f t="shared" si="0"/>
        <v>737.27842883627773</v>
      </c>
      <c r="M13" s="67">
        <v>201.96604731542968</v>
      </c>
      <c r="N13" s="84">
        <f t="shared" si="1"/>
        <v>8.3734166963987406E-4</v>
      </c>
    </row>
    <row r="14" spans="1:14" x14ac:dyDescent="0.2">
      <c r="H14" s="45" t="s">
        <v>9</v>
      </c>
      <c r="I14" s="46">
        <f>+'Price impact v2'!O14</f>
        <v>237.46700000000001</v>
      </c>
      <c r="J14" s="46">
        <f>+'Price impact v2'!H14</f>
        <v>604.03975590944128</v>
      </c>
      <c r="K14" s="66">
        <v>20.236947000000001</v>
      </c>
      <c r="L14" s="46">
        <f t="shared" si="0"/>
        <v>122.23920526232301</v>
      </c>
      <c r="M14" s="67">
        <v>1.7318744511718751</v>
      </c>
      <c r="N14" s="84">
        <f t="shared" si="1"/>
        <v>5.2205603184229759E-4</v>
      </c>
    </row>
    <row r="15" spans="1:14" x14ac:dyDescent="0.2">
      <c r="H15" s="45" t="s">
        <v>10</v>
      </c>
      <c r="I15" s="46">
        <f>+'Price impact v2'!O15</f>
        <v>2302.86</v>
      </c>
      <c r="J15" s="46">
        <f>+'Price impact v2'!H15</f>
        <v>7281.3567709469862</v>
      </c>
      <c r="K15" s="66">
        <v>16.008261000000001</v>
      </c>
      <c r="L15" s="46">
        <f t="shared" si="0"/>
        <v>1165.6185962343659</v>
      </c>
      <c r="M15" s="67">
        <v>516.56814806640625</v>
      </c>
      <c r="N15" s="84">
        <f t="shared" si="1"/>
        <v>7.304772084715407E-4</v>
      </c>
    </row>
    <row r="16" spans="1:14" x14ac:dyDescent="0.2">
      <c r="H16" s="45" t="s">
        <v>11</v>
      </c>
      <c r="I16" s="46">
        <f>+'Price impact v2'!O16</f>
        <v>165.82979999999998</v>
      </c>
      <c r="J16" s="46">
        <f>+'Price impact v2'!H16</f>
        <v>417.20030120670555</v>
      </c>
      <c r="K16" s="66">
        <v>10.242647</v>
      </c>
      <c r="L16" s="46">
        <f t="shared" si="0"/>
        <v>42.732354135539588</v>
      </c>
      <c r="M16" s="67">
        <v>40.173008352294922</v>
      </c>
      <c r="N16" s="84">
        <f t="shared" si="1"/>
        <v>4.9994248613840521E-4</v>
      </c>
    </row>
    <row r="17" spans="8:14" x14ac:dyDescent="0.2">
      <c r="H17" s="45" t="s">
        <v>26</v>
      </c>
      <c r="I17" s="46">
        <f>+'Price impact v2'!O17</f>
        <v>49.283300000000004</v>
      </c>
      <c r="J17" s="46">
        <f>+'Price impact v2'!H17</f>
        <v>33.832979808022316</v>
      </c>
      <c r="K17" s="66">
        <v>0</v>
      </c>
      <c r="L17" s="46">
        <f t="shared" si="0"/>
        <v>0</v>
      </c>
      <c r="M17" s="67">
        <v>0.11519386744689941</v>
      </c>
      <c r="N17" s="84">
        <f t="shared" si="1"/>
        <v>2.3373813735464023E-6</v>
      </c>
    </row>
    <row r="18" spans="8:14" x14ac:dyDescent="0.2">
      <c r="H18" s="45" t="s">
        <v>12</v>
      </c>
      <c r="I18" s="46">
        <f>+'Price impact v2'!O18</f>
        <v>135.92449999999999</v>
      </c>
      <c r="J18" s="46">
        <f>+'Price impact v2'!H18</f>
        <v>87.892393343639256</v>
      </c>
      <c r="K18" s="66">
        <v>15</v>
      </c>
      <c r="L18" s="46">
        <f t="shared" si="0"/>
        <v>13.183859001545889</v>
      </c>
      <c r="M18" s="67">
        <v>0.52453934765624999</v>
      </c>
      <c r="N18" s="84">
        <f t="shared" si="1"/>
        <v>1.0085303495103633E-4</v>
      </c>
    </row>
    <row r="19" spans="8:14" x14ac:dyDescent="0.2">
      <c r="H19" s="45" t="s">
        <v>13</v>
      </c>
      <c r="I19" s="46">
        <f>+'Price impact v2'!O19</f>
        <v>366.5061</v>
      </c>
      <c r="J19" s="46">
        <f>+'Price impact v2'!H19</f>
        <v>130.22612911476705</v>
      </c>
      <c r="K19" s="66">
        <v>21.885802000000002</v>
      </c>
      <c r="L19" s="46">
        <f t="shared" si="0"/>
        <v>28.501032770322272</v>
      </c>
      <c r="M19" s="67">
        <v>6.1761766357421877</v>
      </c>
      <c r="N19" s="84">
        <f t="shared" si="1"/>
        <v>9.4615640520210887E-5</v>
      </c>
    </row>
    <row r="20" spans="8:14" x14ac:dyDescent="0.2">
      <c r="H20" s="45" t="s">
        <v>14</v>
      </c>
      <c r="I20" s="46">
        <f>+'Price impact v2'!O20</f>
        <v>1651.5948999999998</v>
      </c>
      <c r="J20" s="46">
        <f>+'Price impact v2'!H20</f>
        <v>11317.612796271209</v>
      </c>
      <c r="K20" s="66">
        <v>22.103543999999999</v>
      </c>
      <c r="L20" s="46">
        <f t="shared" si="0"/>
        <v>2501.5935241734369</v>
      </c>
      <c r="M20" s="67">
        <v>5.5321388203125004</v>
      </c>
      <c r="N20" s="84">
        <f t="shared" si="1"/>
        <v>1.5180027880891068E-3</v>
      </c>
    </row>
    <row r="21" spans="8:14" x14ac:dyDescent="0.2">
      <c r="H21" s="45" t="s">
        <v>15</v>
      </c>
      <c r="I21" s="46">
        <f>+'Price impact v2'!O21</f>
        <v>48.929699999999997</v>
      </c>
      <c r="J21" s="46">
        <f>+'Price impact v2'!H21</f>
        <v>5.1535343455016225</v>
      </c>
      <c r="K21" s="66">
        <v>16.608060999999999</v>
      </c>
      <c r="L21" s="46">
        <f t="shared" si="0"/>
        <v>0.85590212775686014</v>
      </c>
      <c r="M21" s="67">
        <v>4.6877503706054684</v>
      </c>
      <c r="N21" s="84">
        <f t="shared" si="1"/>
        <v>1.1329831366965931E-4</v>
      </c>
    </row>
    <row r="22" spans="8:14" x14ac:dyDescent="0.2">
      <c r="H22" s="45" t="s">
        <v>16</v>
      </c>
      <c r="I22" s="46">
        <f>+'Price impact v2'!O22</f>
        <v>64.143100000000004</v>
      </c>
      <c r="J22" s="46">
        <f>+'Price impact v2'!H22</f>
        <v>35.157714636488066</v>
      </c>
      <c r="K22" s="66">
        <v>17.62013</v>
      </c>
      <c r="L22" s="46">
        <f t="shared" si="0"/>
        <v>6.1948350239782251</v>
      </c>
      <c r="M22" s="67">
        <v>5.2992769531249997E-2</v>
      </c>
      <c r="N22" s="84">
        <f t="shared" si="1"/>
        <v>9.740451885720326E-5</v>
      </c>
    </row>
    <row r="23" spans="8:14" x14ac:dyDescent="0.2">
      <c r="H23" s="45" t="s">
        <v>17</v>
      </c>
      <c r="I23" s="46">
        <f>+'Price impact v2'!O23</f>
        <v>29.334</v>
      </c>
      <c r="J23" s="46">
        <f>+'Price impact v2'!H23</f>
        <v>4.5502353853774364</v>
      </c>
      <c r="K23" s="66">
        <v>17.693107000000001</v>
      </c>
      <c r="L23" s="46">
        <f t="shared" si="0"/>
        <v>0.80507801548669222</v>
      </c>
      <c r="M23" s="67">
        <v>0.95817355407714844</v>
      </c>
      <c r="N23" s="84">
        <f t="shared" si="1"/>
        <v>6.010948283779371E-5</v>
      </c>
    </row>
    <row r="24" spans="8:14" x14ac:dyDescent="0.2">
      <c r="H24" s="45" t="s">
        <v>18</v>
      </c>
      <c r="I24" s="46">
        <f>+'Price impact v2'!O24</f>
        <v>12.7014</v>
      </c>
      <c r="J24" s="46">
        <f>+'Price impact v2'!H24</f>
        <v>14.846049055764247</v>
      </c>
      <c r="K24" s="66">
        <v>7.7482748274827484</v>
      </c>
      <c r="L24" s="46">
        <f t="shared" si="0"/>
        <v>1.1503126818635214</v>
      </c>
      <c r="M24" s="67">
        <v>1.6213839255332947</v>
      </c>
      <c r="N24" s="84">
        <f t="shared" si="1"/>
        <v>2.1821977163122302E-4</v>
      </c>
    </row>
    <row r="25" spans="8:14" x14ac:dyDescent="0.2">
      <c r="H25" s="45" t="s">
        <v>19</v>
      </c>
      <c r="I25" s="46">
        <f>+'Price impact v2'!O25</f>
        <v>800.09500000000003</v>
      </c>
      <c r="J25" s="46">
        <f>+'Price impact v2'!H25</f>
        <v>2910.7238229789618</v>
      </c>
      <c r="K25" s="66">
        <v>16.549516000000001</v>
      </c>
      <c r="L25" s="46">
        <f t="shared" si="0"/>
        <v>481.71070479971496</v>
      </c>
      <c r="M25" s="67">
        <v>142.02502778894043</v>
      </c>
      <c r="N25" s="84">
        <f t="shared" si="1"/>
        <v>7.7957709095626817E-4</v>
      </c>
    </row>
    <row r="26" spans="8:14" x14ac:dyDescent="0.2">
      <c r="H26" s="45" t="s">
        <v>20</v>
      </c>
      <c r="I26" s="46">
        <f>+'Price impact v2'!O26</f>
        <v>523.03829999999994</v>
      </c>
      <c r="J26" s="46">
        <f>+'Price impact v2'!H26</f>
        <v>212.36407976486061</v>
      </c>
      <c r="K26" s="66">
        <v>7.1812019999999999</v>
      </c>
      <c r="L26" s="46">
        <f t="shared" si="0"/>
        <v>15.250293543355765</v>
      </c>
      <c r="M26" s="67">
        <v>11.0372836953125</v>
      </c>
      <c r="N26" s="84">
        <f t="shared" si="1"/>
        <v>5.0259373431483443E-5</v>
      </c>
    </row>
    <row r="27" spans="8:14" x14ac:dyDescent="0.2">
      <c r="H27" s="45" t="s">
        <v>21</v>
      </c>
      <c r="I27" s="46">
        <f>+'Price impact v2'!O27</f>
        <v>202.44049999999999</v>
      </c>
      <c r="J27" s="46">
        <f>+'Price impact v2'!H27</f>
        <v>677.96390801907114</v>
      </c>
      <c r="K27" s="66">
        <v>15.933346999999999</v>
      </c>
      <c r="L27" s="46">
        <f t="shared" si="0"/>
        <v>108.02234199943943</v>
      </c>
      <c r="M27" s="67">
        <v>3.5769288593750002</v>
      </c>
      <c r="N27" s="84">
        <f t="shared" si="1"/>
        <v>5.5126948836233078E-4</v>
      </c>
    </row>
    <row r="28" spans="8:14" x14ac:dyDescent="0.2">
      <c r="H28" s="45" t="s">
        <v>22</v>
      </c>
      <c r="I28" s="46">
        <f>+'Price impact v2'!O28</f>
        <v>218.1652</v>
      </c>
      <c r="J28" s="46">
        <f>+'Price impact v2'!H28</f>
        <v>105.66302253145741</v>
      </c>
      <c r="K28" s="66">
        <v>6.5000461488762751</v>
      </c>
      <c r="L28" s="46">
        <f t="shared" si="0"/>
        <v>6.8681452268422687</v>
      </c>
      <c r="M28" s="67">
        <v>26.775975817626954</v>
      </c>
      <c r="N28" s="84">
        <f t="shared" si="1"/>
        <v>1.5421396741766892E-4</v>
      </c>
    </row>
    <row r="29" spans="8:14" x14ac:dyDescent="0.2">
      <c r="H29" s="45" t="s">
        <v>23</v>
      </c>
      <c r="I29" s="46">
        <f>+'Price impact v2'!O29</f>
        <v>474.7244</v>
      </c>
      <c r="J29" s="46">
        <f>+'Price impact v2'!H29</f>
        <v>678.97623593896935</v>
      </c>
      <c r="K29" s="66">
        <v>17.665424000000002</v>
      </c>
      <c r="L29" s="46">
        <f t="shared" si="0"/>
        <v>119.94403093785934</v>
      </c>
      <c r="M29" s="67">
        <v>0.79869962500000002</v>
      </c>
      <c r="N29" s="84">
        <f t="shared" si="1"/>
        <v>2.5434279460432061E-4</v>
      </c>
    </row>
    <row r="30" spans="8:14" x14ac:dyDescent="0.2">
      <c r="H30" s="45" t="s">
        <v>24</v>
      </c>
      <c r="I30" s="46">
        <f>+'Price impact v2'!O30</f>
        <v>46.297199999999997</v>
      </c>
      <c r="J30" s="46">
        <f>+'Price impact v2'!H30</f>
        <v>51.515318569849704</v>
      </c>
      <c r="K30" s="66">
        <v>12.41112</v>
      </c>
      <c r="L30" s="46">
        <f t="shared" si="0"/>
        <v>6.3936280060863302</v>
      </c>
      <c r="M30" s="67">
        <v>6.1876748369140628</v>
      </c>
      <c r="N30" s="84">
        <f t="shared" si="1"/>
        <v>2.7175083683247356E-4</v>
      </c>
    </row>
    <row r="31" spans="8:14" x14ac:dyDescent="0.2">
      <c r="H31" s="45" t="s">
        <v>25</v>
      </c>
      <c r="I31" s="46">
        <f>+'Price impact v2'!O31</f>
        <v>91.555300000000003</v>
      </c>
      <c r="J31" s="46">
        <f>+'Price impact v2'!H31</f>
        <v>37.335654547998153</v>
      </c>
      <c r="K31" s="66">
        <v>10.785969</v>
      </c>
      <c r="L31" s="46">
        <f t="shared" si="0"/>
        <v>4.0270121254941706</v>
      </c>
      <c r="M31" s="67">
        <v>5.7183709179687501</v>
      </c>
      <c r="N31" s="84">
        <f t="shared" si="1"/>
        <v>1.0644258763242457E-4</v>
      </c>
    </row>
    <row r="32" spans="8:14" x14ac:dyDescent="0.2">
      <c r="K32" s="43" t="s">
        <v>373</v>
      </c>
    </row>
    <row r="33" spans="8:14" x14ac:dyDescent="0.2">
      <c r="K33" s="43" t="s">
        <v>372</v>
      </c>
    </row>
    <row r="34" spans="8:14" x14ac:dyDescent="0.2">
      <c r="H34" s="60"/>
      <c r="I34" s="60"/>
      <c r="J34" s="60"/>
      <c r="K34" s="60" t="s">
        <v>374</v>
      </c>
      <c r="L34" s="61"/>
      <c r="M34" s="61"/>
      <c r="N34" s="88"/>
    </row>
    <row r="35" spans="8:14" x14ac:dyDescent="0.2">
      <c r="M35" s="46"/>
      <c r="N35" s="84"/>
    </row>
  </sheetData>
  <pageMargins left="0.7" right="0.7" top="0.75" bottom="0.75" header="0.3" footer="0.3"/>
  <pageSetup orientation="landscape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92D050"/>
    <pageSetUpPr fitToPage="1"/>
  </sheetPr>
  <dimension ref="A1:AD66"/>
  <sheetViews>
    <sheetView topLeftCell="M1" workbookViewId="0">
      <selection activeCell="U15" sqref="U15"/>
    </sheetView>
  </sheetViews>
  <sheetFormatPr defaultColWidth="9.140625" defaultRowHeight="15" x14ac:dyDescent="0.25"/>
  <cols>
    <col min="1" max="1" width="4.7109375" style="47" customWidth="1"/>
    <col min="2" max="2" width="3.42578125" style="60" customWidth="1"/>
    <col min="3" max="3" width="10.5703125" style="43" customWidth="1"/>
    <col min="4" max="4" width="12.28515625" style="43" customWidth="1"/>
    <col min="5" max="8" width="8.5703125" style="43" bestFit="1" customWidth="1"/>
    <col min="9" max="12" width="8.5703125" style="43" customWidth="1"/>
    <col min="14" max="14" width="5.85546875" style="43" customWidth="1"/>
    <col min="15" max="15" width="12.140625" style="43" customWidth="1"/>
    <col min="16" max="18" width="9.140625" style="43" bestFit="1" customWidth="1"/>
    <col min="19" max="19" width="9.42578125" style="43" bestFit="1" customWidth="1"/>
    <col min="20" max="20" width="11.7109375" style="43" bestFit="1" customWidth="1"/>
    <col min="21" max="23" width="9.140625" style="43" bestFit="1" customWidth="1"/>
    <col min="24" max="24" width="9.140625" style="43"/>
    <col min="25" max="25" width="5.85546875" style="43" customWidth="1"/>
    <col min="26" max="26" width="9.140625" style="43"/>
    <col min="27" max="28" width="11" style="43" customWidth="1"/>
    <col min="29" max="29" width="9.140625" style="43"/>
    <col min="30" max="30" width="15" style="43" customWidth="1"/>
    <col min="31" max="16384" width="9.140625" style="43"/>
  </cols>
  <sheetData>
    <row r="1" spans="1:30" x14ac:dyDescent="0.25">
      <c r="A1" s="43"/>
      <c r="B1" s="97"/>
      <c r="C1" s="97"/>
      <c r="D1" s="97"/>
      <c r="E1" s="199" t="s">
        <v>352</v>
      </c>
      <c r="F1" s="199"/>
      <c r="G1" s="199"/>
      <c r="H1" s="199"/>
      <c r="I1" s="199"/>
      <c r="J1" s="199"/>
      <c r="K1" s="199"/>
      <c r="L1" s="199"/>
      <c r="N1" s="44"/>
      <c r="O1" s="44"/>
      <c r="P1" s="199" t="s">
        <v>454</v>
      </c>
      <c r="Q1" s="199"/>
      <c r="R1" s="199"/>
      <c r="S1" s="199"/>
      <c r="T1" s="199"/>
      <c r="U1" s="199"/>
      <c r="V1" s="199"/>
      <c r="W1" s="199"/>
    </row>
    <row r="2" spans="1:30" x14ac:dyDescent="0.25">
      <c r="A2" s="196"/>
      <c r="B2" s="97"/>
      <c r="C2" s="97"/>
      <c r="D2" s="97"/>
      <c r="E2" s="199" t="s">
        <v>390</v>
      </c>
      <c r="F2" s="199"/>
      <c r="G2" s="199"/>
      <c r="H2" s="199"/>
      <c r="I2" s="199" t="s">
        <v>389</v>
      </c>
      <c r="J2" s="199"/>
      <c r="K2" s="199"/>
      <c r="L2" s="199"/>
      <c r="N2" s="44"/>
      <c r="O2" s="44"/>
      <c r="P2" s="199" t="s">
        <v>390</v>
      </c>
      <c r="Q2" s="199"/>
      <c r="R2" s="199"/>
      <c r="S2" s="199"/>
      <c r="T2" s="200" t="s">
        <v>391</v>
      </c>
      <c r="U2" s="201"/>
      <c r="V2" s="201"/>
      <c r="W2" s="201"/>
      <c r="Y2" s="99" t="s">
        <v>381</v>
      </c>
    </row>
    <row r="3" spans="1:30" ht="38.25" x14ac:dyDescent="0.25">
      <c r="A3" s="98"/>
      <c r="B3" s="44"/>
      <c r="C3" s="63" t="s">
        <v>453</v>
      </c>
      <c r="D3" s="97" t="s">
        <v>350</v>
      </c>
      <c r="E3" s="97" t="s">
        <v>282</v>
      </c>
      <c r="F3" s="97" t="s">
        <v>264</v>
      </c>
      <c r="G3" s="97" t="s">
        <v>351</v>
      </c>
      <c r="H3" s="97" t="s">
        <v>266</v>
      </c>
      <c r="I3" s="97" t="s">
        <v>282</v>
      </c>
      <c r="J3" s="97" t="s">
        <v>264</v>
      </c>
      <c r="K3" s="97" t="s">
        <v>351</v>
      </c>
      <c r="L3" s="97" t="s">
        <v>266</v>
      </c>
      <c r="N3" s="44"/>
      <c r="O3" s="63" t="s">
        <v>382</v>
      </c>
      <c r="P3" s="63" t="s">
        <v>287</v>
      </c>
      <c r="Q3" s="63" t="s">
        <v>288</v>
      </c>
      <c r="R3" s="63" t="s">
        <v>289</v>
      </c>
      <c r="S3" s="63" t="s">
        <v>290</v>
      </c>
      <c r="T3" s="92" t="s">
        <v>287</v>
      </c>
      <c r="U3" s="77" t="s">
        <v>288</v>
      </c>
      <c r="V3" s="77" t="s">
        <v>289</v>
      </c>
      <c r="W3" s="77" t="s">
        <v>290</v>
      </c>
      <c r="Y3" s="44"/>
      <c r="Z3" s="44" t="s">
        <v>369</v>
      </c>
      <c r="AA3" s="68" t="s">
        <v>379</v>
      </c>
      <c r="AB3" s="68" t="s">
        <v>380</v>
      </c>
    </row>
    <row r="4" spans="1:30" ht="12.75" x14ac:dyDescent="0.2">
      <c r="A4" s="169"/>
      <c r="B4" s="44" t="s">
        <v>72</v>
      </c>
      <c r="C4" s="46">
        <v>21267.425007750582</v>
      </c>
      <c r="D4" s="46">
        <v>3190.1137511625871</v>
      </c>
      <c r="E4" s="46">
        <f>+SUM(E5:E31)</f>
        <v>21249.607254216276</v>
      </c>
      <c r="F4" s="46">
        <f t="shared" ref="F4:H4" si="0">+SUM(F5:F31)</f>
        <v>21536.149578291726</v>
      </c>
      <c r="G4" s="46">
        <f t="shared" si="0"/>
        <v>29069.246898906556</v>
      </c>
      <c r="H4" s="46">
        <f t="shared" si="0"/>
        <v>34671.178920898077</v>
      </c>
      <c r="I4" s="46">
        <f>+SUM(I5:I31)</f>
        <v>17938.380111897117</v>
      </c>
      <c r="J4" s="46">
        <f t="shared" ref="J4" si="1">+SUM(J5:J31)</f>
        <v>18125.580750787693</v>
      </c>
      <c r="K4" s="46">
        <f t="shared" ref="K4" si="2">+SUM(K5:K31)</f>
        <v>21833.355685889212</v>
      </c>
      <c r="L4" s="46">
        <f t="shared" ref="L4" si="3">+SUM(L5:L31)</f>
        <v>27060.89375579471</v>
      </c>
      <c r="M4" s="46"/>
      <c r="N4" s="44" t="s">
        <v>72</v>
      </c>
      <c r="O4" s="46">
        <f>+SUM(O5:O31)</f>
        <v>13341.279099999998</v>
      </c>
      <c r="P4" s="84">
        <f>+SUMPRODUCT(P5:P31,'Option 1, Step 1'!$AB5:$AB31)/'Option 1, Step 1'!$AB4</f>
        <v>1.4664843797283849E-3</v>
      </c>
      <c r="Q4" s="84">
        <f>+SUMPRODUCT(Q5:Q31,'Option 2, Step 1'!$M4:$M30)/'Option 2, Step 1'!$M3</f>
        <v>1.5210463458527207E-3</v>
      </c>
      <c r="R4" s="84">
        <f>+SUMPRODUCT(R5:R31,'Option 3, Step 1'!$M4:$M30)/'Option 3, Step 1'!$M3</f>
        <v>2.0302633280835838E-3</v>
      </c>
      <c r="S4" s="84">
        <f>+SUMPRODUCT(S5:S31,'Option 4, Step 1'!$N4:$N30)/'Option 4, Step 1'!$N3</f>
        <v>2.4278484921303285E-3</v>
      </c>
      <c r="T4" s="93">
        <f>+SUMPRODUCT(T5:T31,'Option 1, Step 1'!$AB5:$AB31)/'Option 1, Step 1'!$AB4</f>
        <v>1.2217453003346946E-3</v>
      </c>
      <c r="U4" s="84">
        <f>+SUMPRODUCT(U5:U31,'Option 2, Step 1'!$M4:$M30)/'Option 2, Step 1'!$M3</f>
        <v>1.2555004474167685E-3</v>
      </c>
      <c r="V4" s="84">
        <f>+SUMPRODUCT(V5:V31,'Option 3, Step 1'!$M4:$M30)/'Option 3, Step 1'!$M3</f>
        <v>1.4750498887644886E-3</v>
      </c>
      <c r="W4" s="94">
        <f>+SUMPRODUCT(W5:W31,'Option 4, Step 1'!$N4:$N30)/'Option 4, Step 1'!$N3</f>
        <v>1.8429694016350996E-3</v>
      </c>
      <c r="Y4" s="44" t="s">
        <v>72</v>
      </c>
      <c r="AA4" s="57">
        <f>+SUMPRODUCT(AA5:AA31,'Option 1, Step 1'!$Q5:$Q31)/'Option 1, Step 1'!$Q4</f>
        <v>1207.6858625625491</v>
      </c>
      <c r="AB4" s="46">
        <f>+SUMPRODUCT(AB5:AB31,'Option 1, Step 1'!$Q5:$Q31)/'Option 1, Step 1'!$Q4</f>
        <v>14492.230350750591</v>
      </c>
      <c r="AD4" s="46"/>
    </row>
    <row r="5" spans="1:30" x14ac:dyDescent="0.25">
      <c r="A5" s="169"/>
      <c r="B5" s="44" t="s">
        <v>0</v>
      </c>
      <c r="C5" s="46">
        <v>30400.581385095054</v>
      </c>
      <c r="D5" s="46">
        <v>4560.087207764258</v>
      </c>
      <c r="E5" s="46">
        <f>+$D5*'2nd baseline 2030'!U5/1000000</f>
        <v>319.70938085861428</v>
      </c>
      <c r="F5" s="46">
        <f>+$D5*'2nd baseline 2030'!V5/1000000</f>
        <v>402.38637552157741</v>
      </c>
      <c r="G5" s="46">
        <f>+$D5*'2nd baseline 2030'!W5/1000000</f>
        <v>406.5158110680091</v>
      </c>
      <c r="H5" s="46">
        <f>+$D5*'2nd baseline 2030'!X5/1000000</f>
        <v>536.35793754752876</v>
      </c>
      <c r="I5" s="46">
        <f>+$D5*'2nd baseline 2030'!Y5/1000000</f>
        <v>319.70938085861428</v>
      </c>
      <c r="J5" s="46">
        <f>+$D5*'2nd baseline 2030'!Z5/1000000</f>
        <v>402.16081437903927</v>
      </c>
      <c r="K5" s="46">
        <f>+$D5*'2nd baseline 2030'!AA5/1000000</f>
        <v>406.5158110680091</v>
      </c>
      <c r="L5" s="46">
        <f>+$D5*'2nd baseline 2030'!AB5/1000000</f>
        <v>535.15802972078802</v>
      </c>
      <c r="N5" s="44" t="s">
        <v>0</v>
      </c>
      <c r="O5" s="85">
        <v>377.29720000000003</v>
      </c>
      <c r="P5" s="84">
        <f>+E5*0.85/(1000*$O5)</f>
        <v>7.2026236539741648E-4</v>
      </c>
      <c r="Q5" s="84">
        <f t="shared" ref="Q5:Q31" si="4">+F5*0.85/(1000*$O5)</f>
        <v>9.0652254825464057E-4</v>
      </c>
      <c r="R5" s="84">
        <f t="shared" ref="R5:R31" si="5">+G5*0.85/(1000*$O5)</f>
        <v>9.1582561282672577E-4</v>
      </c>
      <c r="S5" s="84">
        <f t="shared" ref="S5:S31" si="6">+H5*0.85/(1000*$O5)</f>
        <v>1.2083425133168214E-3</v>
      </c>
      <c r="T5" s="93">
        <f t="shared" ref="T5:T31" si="7">+I5*0.85/(1000*$O5)</f>
        <v>7.2026236539741648E-4</v>
      </c>
      <c r="U5" s="94">
        <f t="shared" ref="U5:U31" si="8">+J5*0.85/(1000*$O5)</f>
        <v>9.0601438924588727E-4</v>
      </c>
      <c r="V5" s="94">
        <f t="shared" ref="V5:V31" si="9">+K5*0.85/(1000*$O5)</f>
        <v>9.1582561282672577E-4</v>
      </c>
      <c r="W5" s="94">
        <f t="shared" ref="W5:W31" si="10">+L5*0.85/(1000*$O5)</f>
        <v>1.2056392818782377E-3</v>
      </c>
      <c r="Y5" s="44" t="s">
        <v>0</v>
      </c>
      <c r="Z5" s="43" t="s">
        <v>5</v>
      </c>
      <c r="AA5" s="168">
        <f>+AA$10</f>
        <v>1585</v>
      </c>
      <c r="AB5" s="46">
        <f>+AA5*12</f>
        <v>19020</v>
      </c>
    </row>
    <row r="6" spans="1:30" x14ac:dyDescent="0.25">
      <c r="A6" s="169"/>
      <c r="B6" s="44" t="s">
        <v>1</v>
      </c>
      <c r="C6" s="46">
        <v>29714.862390807291</v>
      </c>
      <c r="D6" s="46">
        <v>4457.2293586210935</v>
      </c>
      <c r="E6" s="46">
        <f>+$D6*'2nd baseline 2030'!U6/1000000</f>
        <v>873.50642899761249</v>
      </c>
      <c r="F6" s="46">
        <f>+$D6*'2nd baseline 2030'!V6/1000000</f>
        <v>797.41802151716786</v>
      </c>
      <c r="G6" s="46">
        <f>+$D6*'2nd baseline 2030'!W6/1000000</f>
        <v>1075.523328746443</v>
      </c>
      <c r="H6" s="46">
        <f>+$D6*'2nd baseline 2030'!X6/1000000</f>
        <v>1376.8284495539633</v>
      </c>
      <c r="I6" s="46">
        <f>+$D6*'2nd baseline 2030'!Y6/1000000</f>
        <v>873.50642899761249</v>
      </c>
      <c r="J6" s="46">
        <f>+$D6*'2nd baseline 2030'!Z6/1000000</f>
        <v>797.41802151716786</v>
      </c>
      <c r="K6" s="46">
        <f>+$D6*'2nd baseline 2030'!AA6/1000000</f>
        <v>1075.523328746443</v>
      </c>
      <c r="L6" s="46">
        <f>+$D6*'2nd baseline 2030'!AB6/1000000</f>
        <v>1376.8284495539633</v>
      </c>
      <c r="N6" s="44" t="s">
        <v>1</v>
      </c>
      <c r="O6" s="85">
        <v>451.17690000000005</v>
      </c>
      <c r="P6" s="84">
        <f t="shared" ref="P6:P31" si="11">+E6*0.85/(1000*$O6)</f>
        <v>1.6456526578554234E-3</v>
      </c>
      <c r="Q6" s="84">
        <f t="shared" si="4"/>
        <v>1.5023050122681206E-3</v>
      </c>
      <c r="R6" s="84">
        <f t="shared" si="5"/>
        <v>2.0262447599477644E-3</v>
      </c>
      <c r="S6" s="84">
        <f t="shared" si="6"/>
        <v>2.5938920678804005E-3</v>
      </c>
      <c r="T6" s="93">
        <f t="shared" si="7"/>
        <v>1.6456526578554234E-3</v>
      </c>
      <c r="U6" s="94">
        <f t="shared" si="8"/>
        <v>1.5023050122681206E-3</v>
      </c>
      <c r="V6" s="94">
        <f t="shared" si="9"/>
        <v>2.0262447599477644E-3</v>
      </c>
      <c r="W6" s="94">
        <f t="shared" si="10"/>
        <v>2.5938920678804005E-3</v>
      </c>
      <c r="Y6" s="44" t="s">
        <v>1</v>
      </c>
      <c r="AA6" s="57">
        <v>1625.72</v>
      </c>
      <c r="AB6" s="46">
        <f t="shared" ref="AB6:AB31" si="12">+AA6*12</f>
        <v>19508.64</v>
      </c>
    </row>
    <row r="7" spans="1:30" x14ac:dyDescent="0.25">
      <c r="A7" s="169"/>
      <c r="B7" s="44" t="s">
        <v>2</v>
      </c>
      <c r="C7" s="46">
        <v>4398.1352851411293</v>
      </c>
      <c r="D7" s="46">
        <v>659.7202927711694</v>
      </c>
      <c r="E7" s="46">
        <f>+$D7*'2nd baseline 2030'!U7/1000000</f>
        <v>19.628383287771818</v>
      </c>
      <c r="F7" s="46">
        <f>+$D7*'2nd baseline 2030'!V7/1000000</f>
        <v>22.949814042292598</v>
      </c>
      <c r="G7" s="46">
        <f>+$D7*'2nd baseline 2030'!W7/1000000</f>
        <v>22.298764492208093</v>
      </c>
      <c r="H7" s="46">
        <f>+$D7*'2nd baseline 2030'!X7/1000000</f>
        <v>26.726290618763979</v>
      </c>
      <c r="I7" s="46">
        <f>+$D7*'2nd baseline 2030'!Y7/1000000</f>
        <v>19.628383287771818</v>
      </c>
      <c r="J7" s="46">
        <f>+$D7*'2nd baseline 2030'!Z7/1000000</f>
        <v>22.949814042292598</v>
      </c>
      <c r="K7" s="46">
        <f>+$D7*'2nd baseline 2030'!AA7/1000000</f>
        <v>22.298764492208093</v>
      </c>
      <c r="L7" s="46">
        <f>+$D7*'2nd baseline 2030'!AB7/1000000</f>
        <v>26.726290618763979</v>
      </c>
      <c r="N7" s="44" t="s">
        <v>2</v>
      </c>
      <c r="O7" s="85">
        <v>60.642699999999998</v>
      </c>
      <c r="P7" s="84">
        <f t="shared" si="11"/>
        <v>2.7512175075657987E-4</v>
      </c>
      <c r="Q7" s="84">
        <f t="shared" si="4"/>
        <v>3.2167667231090813E-4</v>
      </c>
      <c r="R7" s="84">
        <f t="shared" si="5"/>
        <v>3.125512191636731E-4</v>
      </c>
      <c r="S7" s="84">
        <f t="shared" si="6"/>
        <v>3.7460975560041663E-4</v>
      </c>
      <c r="T7" s="93">
        <f t="shared" si="7"/>
        <v>2.7512175075657987E-4</v>
      </c>
      <c r="U7" s="94">
        <f t="shared" si="8"/>
        <v>3.2167667231090813E-4</v>
      </c>
      <c r="V7" s="94">
        <f t="shared" si="9"/>
        <v>3.125512191636731E-4</v>
      </c>
      <c r="W7" s="94">
        <f t="shared" si="10"/>
        <v>3.7460975560041663E-4</v>
      </c>
      <c r="Y7" s="44" t="s">
        <v>2</v>
      </c>
      <c r="AA7" s="57">
        <v>332.34</v>
      </c>
      <c r="AB7" s="46">
        <f t="shared" si="12"/>
        <v>3988.08</v>
      </c>
    </row>
    <row r="8" spans="1:30" x14ac:dyDescent="0.25">
      <c r="A8" s="169"/>
      <c r="B8" s="44" t="s">
        <v>3</v>
      </c>
      <c r="C8" s="46">
        <v>14517.23531533767</v>
      </c>
      <c r="D8" s="46">
        <v>2177.5852973006504</v>
      </c>
      <c r="E8" s="46">
        <f>+$D8*'2nd baseline 2030'!U8/1000000</f>
        <v>12.537973949046952</v>
      </c>
      <c r="F8" s="46">
        <f>+$D8*'2nd baseline 2030'!V8/1000000</f>
        <v>18.036424338171809</v>
      </c>
      <c r="G8" s="46">
        <f>+$D8*'2nd baseline 2030'!W8/1000000</f>
        <v>20.211409829076654</v>
      </c>
      <c r="H8" s="46">
        <f>+$D8*'2nd baseline 2030'!X8/1000000</f>
        <v>23.508397002759136</v>
      </c>
      <c r="I8" s="46">
        <f>+$D8*'2nd baseline 2030'!Y8/1000000</f>
        <v>12.537973949046952</v>
      </c>
      <c r="J8" s="46">
        <f>+$D8*'2nd baseline 2030'!Z8/1000000</f>
        <v>18.036424338171809</v>
      </c>
      <c r="K8" s="46">
        <f>+$D8*'2nd baseline 2030'!AA8/1000000</f>
        <v>20.211409829076654</v>
      </c>
      <c r="L8" s="46">
        <f>+$D8*'2nd baseline 2030'!AB8/1000000</f>
        <v>23.508397002759136</v>
      </c>
      <c r="N8" s="44" t="s">
        <v>3</v>
      </c>
      <c r="O8" s="85">
        <v>20.840700000000002</v>
      </c>
      <c r="P8" s="84">
        <f t="shared" si="11"/>
        <v>5.1136851721342899E-4</v>
      </c>
      <c r="Q8" s="84">
        <f t="shared" si="4"/>
        <v>7.3562599564534954E-4</v>
      </c>
      <c r="R8" s="84">
        <f t="shared" si="5"/>
        <v>8.2433403651101722E-4</v>
      </c>
      <c r="S8" s="84">
        <f t="shared" si="6"/>
        <v>9.5880356477206921E-4</v>
      </c>
      <c r="T8" s="93">
        <f t="shared" si="7"/>
        <v>5.1136851721342899E-4</v>
      </c>
      <c r="U8" s="94">
        <f t="shared" si="8"/>
        <v>7.3562599564534954E-4</v>
      </c>
      <c r="V8" s="94">
        <f t="shared" si="9"/>
        <v>8.2433403651101722E-4</v>
      </c>
      <c r="W8" s="94">
        <f t="shared" si="10"/>
        <v>9.5880356477206921E-4</v>
      </c>
      <c r="Y8" s="44" t="s">
        <v>3</v>
      </c>
      <c r="Z8" s="43" t="s">
        <v>18</v>
      </c>
      <c r="AA8" s="168">
        <f>+AA24</f>
        <v>784.68</v>
      </c>
      <c r="AB8" s="46">
        <f t="shared" si="12"/>
        <v>9416.16</v>
      </c>
    </row>
    <row r="9" spans="1:30" x14ac:dyDescent="0.25">
      <c r="A9" s="169"/>
      <c r="B9" s="44" t="s">
        <v>4</v>
      </c>
      <c r="C9" s="46">
        <v>9740.659460446248</v>
      </c>
      <c r="D9" s="46">
        <v>1461.0989190669372</v>
      </c>
      <c r="E9" s="46">
        <f>+$D9*'2nd baseline 2030'!U9/1000000</f>
        <v>73.19393725338422</v>
      </c>
      <c r="F9" s="46">
        <f>+$D9*'2nd baseline 2030'!V9/1000000</f>
        <v>89.43483274346616</v>
      </c>
      <c r="G9" s="46">
        <f>+$D9*'2nd baseline 2030'!W9/1000000</f>
        <v>146.7972677623948</v>
      </c>
      <c r="H9" s="46">
        <f>+$D9*'2nd baseline 2030'!X9/1000000</f>
        <v>187.4057989571676</v>
      </c>
      <c r="I9" s="46">
        <f>+$D9*'2nd baseline 2030'!Y9/1000000</f>
        <v>73.19393725338422</v>
      </c>
      <c r="J9" s="46">
        <f>+$D9*'2nd baseline 2030'!Z9/1000000</f>
        <v>89.43483274346616</v>
      </c>
      <c r="K9" s="46">
        <f>+$D9*'2nd baseline 2030'!AA9/1000000</f>
        <v>146.7972677623948</v>
      </c>
      <c r="L9" s="46">
        <f>+$D9*'2nd baseline 2030'!AB9/1000000</f>
        <v>187.4057989571676</v>
      </c>
      <c r="N9" s="44" t="s">
        <v>4</v>
      </c>
      <c r="O9" s="85">
        <v>213.661</v>
      </c>
      <c r="P9" s="84">
        <f t="shared" si="11"/>
        <v>2.9118485201031814E-4</v>
      </c>
      <c r="Q9" s="84">
        <f t="shared" si="4"/>
        <v>3.5579543216565602E-4</v>
      </c>
      <c r="R9" s="84">
        <f t="shared" si="5"/>
        <v>5.8399837873095964E-4</v>
      </c>
      <c r="S9" s="84">
        <f t="shared" si="6"/>
        <v>7.4554986222844823E-4</v>
      </c>
      <c r="T9" s="93">
        <f t="shared" si="7"/>
        <v>2.9118485201031814E-4</v>
      </c>
      <c r="U9" s="94">
        <f t="shared" si="8"/>
        <v>3.5579543216565602E-4</v>
      </c>
      <c r="V9" s="94">
        <f t="shared" si="9"/>
        <v>5.8399837873095964E-4</v>
      </c>
      <c r="W9" s="94">
        <f t="shared" si="10"/>
        <v>7.4554986222844823E-4</v>
      </c>
      <c r="Y9" s="44" t="s">
        <v>4</v>
      </c>
      <c r="AA9" s="57">
        <v>596.36</v>
      </c>
      <c r="AB9" s="46">
        <f t="shared" si="12"/>
        <v>7156.32</v>
      </c>
    </row>
    <row r="10" spans="1:30" x14ac:dyDescent="0.25">
      <c r="A10" s="169"/>
      <c r="B10" s="44" t="s">
        <v>5</v>
      </c>
      <c r="C10" s="46">
        <v>30400.581385095054</v>
      </c>
      <c r="D10" s="46">
        <v>4560.087207764258</v>
      </c>
      <c r="E10" s="46">
        <f>+$D10*'2nd baseline 2030'!U10/1000000</f>
        <v>1413.9728339493267</v>
      </c>
      <c r="F10" s="46">
        <f>+$D10*'2nd baseline 2030'!V10/1000000</f>
        <v>2151.7320630142735</v>
      </c>
      <c r="G10" s="46">
        <f>+$D10*'2nd baseline 2030'!W10/1000000</f>
        <v>2357.0348431026068</v>
      </c>
      <c r="H10" s="46">
        <f>+$D10*'2nd baseline 2030'!X10/1000000</f>
        <v>2629.0590956135734</v>
      </c>
      <c r="I10" s="46">
        <f>+$D10*'2nd baseline 2030'!Y10/1000000</f>
        <v>1413.9728339493267</v>
      </c>
      <c r="J10" s="46">
        <f>+$D10*'2nd baseline 2030'!Z10/1000000</f>
        <v>2047.8547499732942</v>
      </c>
      <c r="K10" s="46">
        <f>+$D10*'2nd baseline 2030'!AA10/1000000</f>
        <v>1920.9680419154515</v>
      </c>
      <c r="L10" s="46">
        <f>+$D10*'2nd baseline 2030'!AB10/1000000</f>
        <v>2224.9563077256043</v>
      </c>
      <c r="N10" s="44" t="s">
        <v>5</v>
      </c>
      <c r="O10" s="85">
        <v>3336.18</v>
      </c>
      <c r="P10" s="84">
        <f t="shared" si="11"/>
        <v>3.6025541453306708E-4</v>
      </c>
      <c r="Q10" s="84">
        <f t="shared" si="4"/>
        <v>5.4822349320544233E-4</v>
      </c>
      <c r="R10" s="84">
        <f t="shared" si="5"/>
        <v>6.0053103149027205E-4</v>
      </c>
      <c r="S10" s="84">
        <f t="shared" si="6"/>
        <v>6.698380277058004E-4</v>
      </c>
      <c r="T10" s="93">
        <f t="shared" si="7"/>
        <v>3.6025541453306708E-4</v>
      </c>
      <c r="U10" s="94">
        <f t="shared" si="8"/>
        <v>5.2175738044029404E-4</v>
      </c>
      <c r="V10" s="94">
        <f t="shared" si="9"/>
        <v>4.8942887842626411E-4</v>
      </c>
      <c r="W10" s="94">
        <f t="shared" si="10"/>
        <v>5.6687974316936248E-4</v>
      </c>
      <c r="Y10" s="44" t="s">
        <v>5</v>
      </c>
      <c r="AA10" s="57">
        <v>1585</v>
      </c>
      <c r="AB10" s="46">
        <f t="shared" si="12"/>
        <v>19020</v>
      </c>
    </row>
    <row r="11" spans="1:30" x14ac:dyDescent="0.25">
      <c r="A11" s="169"/>
      <c r="B11" s="44" t="s">
        <v>6</v>
      </c>
      <c r="C11" s="46">
        <v>24592.160413443286</v>
      </c>
      <c r="D11" s="46">
        <v>3688.8240620164925</v>
      </c>
      <c r="E11" s="46">
        <f>+$D11*'2nd baseline 2030'!U11/1000000</f>
        <v>264.73420855665938</v>
      </c>
      <c r="F11" s="46">
        <f>+$D11*'2nd baseline 2030'!V11/1000000</f>
        <v>301.0611390616013</v>
      </c>
      <c r="G11" s="46">
        <f>+$D11*'2nd baseline 2030'!W11/1000000</f>
        <v>351.57754861428441</v>
      </c>
      <c r="H11" s="46">
        <f>+$D11*'2nd baseline 2030'!X11/1000000</f>
        <v>382.77116708871131</v>
      </c>
      <c r="I11" s="46">
        <f>+$D11*'2nd baseline 2030'!Y11/1000000</f>
        <v>264.73420855665938</v>
      </c>
      <c r="J11" s="46">
        <f>+$D11*'2nd baseline 2030'!Z11/1000000</f>
        <v>301.0611390616013</v>
      </c>
      <c r="K11" s="46">
        <f>+$D11*'2nd baseline 2030'!AA11/1000000</f>
        <v>351.57754861428441</v>
      </c>
      <c r="L11" s="46">
        <f>+$D11*'2nd baseline 2030'!AB11/1000000</f>
        <v>382.77116708871131</v>
      </c>
      <c r="N11" s="44" t="s">
        <v>6</v>
      </c>
      <c r="O11" s="85">
        <v>311.726</v>
      </c>
      <c r="P11" s="84">
        <f t="shared" si="11"/>
        <v>7.21864962413018E-4</v>
      </c>
      <c r="Q11" s="84">
        <f t="shared" si="4"/>
        <v>8.2091955179343747E-4</v>
      </c>
      <c r="R11" s="84">
        <f t="shared" si="5"/>
        <v>9.5866535458108003E-4</v>
      </c>
      <c r="S11" s="84">
        <f t="shared" si="6"/>
        <v>1.0437226667823812E-3</v>
      </c>
      <c r="T11" s="93">
        <f t="shared" si="7"/>
        <v>7.21864962413018E-4</v>
      </c>
      <c r="U11" s="94">
        <f t="shared" si="8"/>
        <v>8.2091955179343747E-4</v>
      </c>
      <c r="V11" s="94">
        <f t="shared" si="9"/>
        <v>9.5866535458108003E-4</v>
      </c>
      <c r="W11" s="94">
        <f t="shared" si="10"/>
        <v>1.0437226667823812E-3</v>
      </c>
      <c r="Y11" s="44" t="s">
        <v>6</v>
      </c>
      <c r="Z11" s="43" t="s">
        <v>19</v>
      </c>
      <c r="AA11" s="168">
        <f>+AA$25</f>
        <v>1701</v>
      </c>
      <c r="AB11" s="46">
        <f t="shared" si="12"/>
        <v>20412</v>
      </c>
    </row>
    <row r="12" spans="1:30" x14ac:dyDescent="0.25">
      <c r="A12" s="169"/>
      <c r="B12" s="44" t="s">
        <v>7</v>
      </c>
      <c r="C12" s="46">
        <v>4173.2434645736657</v>
      </c>
      <c r="D12" s="46">
        <v>625.98651968604986</v>
      </c>
      <c r="E12" s="46">
        <f>+$D12*'2nd baseline 2030'!U12/1000000</f>
        <v>0.57434400099071492</v>
      </c>
      <c r="F12" s="46">
        <f>+$D12*'2nd baseline 2030'!V12/1000000</f>
        <v>0.69960079163907996</v>
      </c>
      <c r="G12" s="46">
        <f>+$D12*'2nd baseline 2030'!W12/1000000</f>
        <v>0.80169181001248835</v>
      </c>
      <c r="H12" s="46">
        <f>+$D12*'2nd baseline 2030'!X12/1000000</f>
        <v>0.97800622707178231</v>
      </c>
      <c r="I12" s="46">
        <f>+$D12*'2nd baseline 2030'!Y12/1000000</f>
        <v>0.57434400099071492</v>
      </c>
      <c r="J12" s="46">
        <f>+$D12*'2nd baseline 2030'!Z12/1000000</f>
        <v>0.69960079163907996</v>
      </c>
      <c r="K12" s="46">
        <f>+$D12*'2nd baseline 2030'!AA12/1000000</f>
        <v>0.80169181001248835</v>
      </c>
      <c r="L12" s="46">
        <f>+$D12*'2nd baseline 2030'!AB12/1000000</f>
        <v>0.97800622707178231</v>
      </c>
      <c r="N12" s="44" t="s">
        <v>7</v>
      </c>
      <c r="O12" s="85">
        <v>27.166900000000002</v>
      </c>
      <c r="P12" s="84">
        <f t="shared" si="11"/>
        <v>1.7970118079063406E-5</v>
      </c>
      <c r="Q12" s="84">
        <f t="shared" si="4"/>
        <v>2.1889161917378058E-5</v>
      </c>
      <c r="R12" s="84">
        <f t="shared" si="5"/>
        <v>2.5083393339343654E-5</v>
      </c>
      <c r="S12" s="84">
        <f t="shared" si="6"/>
        <v>3.0599932013259331E-5</v>
      </c>
      <c r="T12" s="93">
        <f t="shared" si="7"/>
        <v>1.7970118079063406E-5</v>
      </c>
      <c r="U12" s="94">
        <f t="shared" si="8"/>
        <v>2.1889161917378058E-5</v>
      </c>
      <c r="V12" s="94">
        <f t="shared" si="9"/>
        <v>2.5083393339343654E-5</v>
      </c>
      <c r="W12" s="94">
        <f t="shared" si="10"/>
        <v>3.0599932013259331E-5</v>
      </c>
      <c r="Y12" s="44" t="s">
        <v>7</v>
      </c>
      <c r="AA12" s="57">
        <v>584</v>
      </c>
      <c r="AB12" s="46">
        <f t="shared" si="12"/>
        <v>7008</v>
      </c>
    </row>
    <row r="13" spans="1:30" x14ac:dyDescent="0.25">
      <c r="A13" s="169"/>
      <c r="B13" s="44" t="s">
        <v>8</v>
      </c>
      <c r="C13" s="46">
        <v>14048.725264183169</v>
      </c>
      <c r="D13" s="46">
        <v>2107.3087896274751</v>
      </c>
      <c r="E13" s="46">
        <f>+$D13*'2nd baseline 2030'!U13/1000000</f>
        <v>3324.9470836470841</v>
      </c>
      <c r="F13" s="46">
        <f>+$D13*'2nd baseline 2030'!V13/1000000</f>
        <v>3823.095169326999</v>
      </c>
      <c r="G13" s="46">
        <f>+$D13*'2nd baseline 2030'!W13/1000000</f>
        <v>4318.573518932968</v>
      </c>
      <c r="H13" s="46">
        <f>+$D13*'2nd baseline 2030'!X13/1000000</f>
        <v>4901.1330759134653</v>
      </c>
      <c r="I13" s="46">
        <f>+$D13*'2nd baseline 2030'!Y13/1000000</f>
        <v>2826.2050211000214</v>
      </c>
      <c r="J13" s="46">
        <f>+$D13*'2nd baseline 2030'!Z13/1000000</f>
        <v>3227.5888257543743</v>
      </c>
      <c r="K13" s="46">
        <f>+$D13*'2nd baseline 2030'!AA13/1000000</f>
        <v>3073.7840869410834</v>
      </c>
      <c r="L13" s="46">
        <f>+$D13*'2nd baseline 2030'!AB13/1000000</f>
        <v>3906.3689872661744</v>
      </c>
      <c r="N13" s="44" t="s">
        <v>8</v>
      </c>
      <c r="O13" s="85">
        <v>1121.6980000000001</v>
      </c>
      <c r="P13" s="84">
        <f t="shared" si="11"/>
        <v>2.5195774808371074E-3</v>
      </c>
      <c r="Q13" s="84">
        <f t="shared" si="4"/>
        <v>2.8970639993366747E-3</v>
      </c>
      <c r="R13" s="84">
        <f t="shared" si="5"/>
        <v>3.2725274459730006E-3</v>
      </c>
      <c r="S13" s="84">
        <f t="shared" si="6"/>
        <v>3.7139792658330904E-3</v>
      </c>
      <c r="T13" s="93">
        <f t="shared" si="7"/>
        <v>2.1416408587115409E-3</v>
      </c>
      <c r="U13" s="94">
        <f t="shared" si="8"/>
        <v>2.4458013671159423E-3</v>
      </c>
      <c r="V13" s="94">
        <f t="shared" si="9"/>
        <v>2.3292512547048502E-3</v>
      </c>
      <c r="W13" s="94">
        <f t="shared" si="10"/>
        <v>2.9601672100478455E-3</v>
      </c>
      <c r="Y13" s="44" t="s">
        <v>8</v>
      </c>
      <c r="AA13" s="57">
        <v>1108.33</v>
      </c>
      <c r="AB13" s="46">
        <f t="shared" si="12"/>
        <v>13299.96</v>
      </c>
    </row>
    <row r="14" spans="1:30" x14ac:dyDescent="0.25">
      <c r="A14" s="169"/>
      <c r="B14" s="44" t="s">
        <v>9</v>
      </c>
      <c r="C14" s="46">
        <v>18954.429286353723</v>
      </c>
      <c r="D14" s="46">
        <v>2843.1643929530583</v>
      </c>
      <c r="E14" s="46">
        <f>+$D14*'2nd baseline 2030'!U14/1000000</f>
        <v>421.98804512616391</v>
      </c>
      <c r="F14" s="46">
        <f>+$D14*'2nd baseline 2030'!V14/1000000</f>
        <v>470.60265989403206</v>
      </c>
      <c r="G14" s="46">
        <f>+$D14*'2nd baseline 2030'!W14/1000000</f>
        <v>557.1614837006565</v>
      </c>
      <c r="H14" s="46">
        <f>+$D14*'2nd baseline 2030'!X14/1000000</f>
        <v>604.03975590944128</v>
      </c>
      <c r="I14" s="46">
        <f>+$D14*'2nd baseline 2030'!Y14/1000000</f>
        <v>421.98804512616391</v>
      </c>
      <c r="J14" s="46">
        <f>+$D14*'2nd baseline 2030'!Z14/1000000</f>
        <v>470.60265989403206</v>
      </c>
      <c r="K14" s="46">
        <f>+$D14*'2nd baseline 2030'!AA14/1000000</f>
        <v>557.1614837006565</v>
      </c>
      <c r="L14" s="46">
        <f>+$D14*'2nd baseline 2030'!AB14/1000000</f>
        <v>604.03975590944128</v>
      </c>
      <c r="N14" s="44" t="s">
        <v>9</v>
      </c>
      <c r="O14" s="85">
        <v>237.46700000000001</v>
      </c>
      <c r="P14" s="84">
        <f t="shared" si="11"/>
        <v>1.5104828812308208E-3</v>
      </c>
      <c r="Q14" s="84">
        <f t="shared" si="4"/>
        <v>1.6844962075148432E-3</v>
      </c>
      <c r="R14" s="84">
        <f t="shared" si="5"/>
        <v>1.9943287326051958E-3</v>
      </c>
      <c r="S14" s="84">
        <f t="shared" si="6"/>
        <v>2.1621269166790546E-3</v>
      </c>
      <c r="T14" s="93">
        <f t="shared" si="7"/>
        <v>1.5104828812308208E-3</v>
      </c>
      <c r="U14" s="94">
        <f t="shared" si="8"/>
        <v>1.6844962075148432E-3</v>
      </c>
      <c r="V14" s="94">
        <f t="shared" si="9"/>
        <v>1.9943287326051958E-3</v>
      </c>
      <c r="W14" s="94">
        <f t="shared" si="10"/>
        <v>2.1621269166790546E-3</v>
      </c>
      <c r="Y14" s="44" t="s">
        <v>9</v>
      </c>
      <c r="Z14" s="43" t="s">
        <v>19</v>
      </c>
      <c r="AA14" s="168">
        <f>+AA$25</f>
        <v>1701</v>
      </c>
      <c r="AB14" s="46">
        <f t="shared" si="12"/>
        <v>20412</v>
      </c>
    </row>
    <row r="15" spans="1:30" x14ac:dyDescent="0.25">
      <c r="A15" s="169"/>
      <c r="B15" s="44" t="s">
        <v>10</v>
      </c>
      <c r="C15" s="46">
        <v>26739.368614928717</v>
      </c>
      <c r="D15" s="46">
        <v>4010.9052922393075</v>
      </c>
      <c r="E15" s="46">
        <f>+$D15*'2nd baseline 2030'!U15/1000000</f>
        <v>4865.1662092547167</v>
      </c>
      <c r="F15" s="46">
        <f>+$D15*'2nd baseline 2030'!V15/1000000</f>
        <v>3527.9087576237462</v>
      </c>
      <c r="G15" s="46">
        <f>+$D15*'2nd baseline 2030'!W15/1000000</f>
        <v>5745.9933663699549</v>
      </c>
      <c r="H15" s="46">
        <f>+$D15*'2nd baseline 2030'!X15/1000000</f>
        <v>7281.3567709469862</v>
      </c>
      <c r="I15" s="46">
        <f>+$D15*'2nd baseline 2030'!Y15/1000000</f>
        <v>3405.6163464783031</v>
      </c>
      <c r="J15" s="46">
        <f>+$D15*'2nd baseline 2030'!Z15/1000000</f>
        <v>2509.449826543153</v>
      </c>
      <c r="K15" s="46">
        <f>+$D15*'2nd baseline 2030'!AA15/1000000</f>
        <v>4444.6098414726675</v>
      </c>
      <c r="L15" s="46">
        <f>+$D15*'2nd baseline 2030'!AB15/1000000</f>
        <v>5870.5978000976902</v>
      </c>
      <c r="N15" s="44" t="s">
        <v>10</v>
      </c>
      <c r="O15" s="85">
        <v>2302.86</v>
      </c>
      <c r="P15" s="84">
        <f t="shared" si="11"/>
        <v>1.795763215248217E-3</v>
      </c>
      <c r="Q15" s="84">
        <f t="shared" si="4"/>
        <v>1.3021731429527564E-3</v>
      </c>
      <c r="R15" s="84">
        <f t="shared" si="5"/>
        <v>2.1208820168896335E-3</v>
      </c>
      <c r="S15" s="84">
        <f t="shared" si="6"/>
        <v>2.6875942329559499E-3</v>
      </c>
      <c r="T15" s="93">
        <f t="shared" si="7"/>
        <v>1.2570342506737523E-3</v>
      </c>
      <c r="U15" s="94">
        <f t="shared" si="8"/>
        <v>9.2625359447021528E-4</v>
      </c>
      <c r="V15" s="94">
        <f t="shared" si="9"/>
        <v>1.6405332348695828E-3</v>
      </c>
      <c r="W15" s="94">
        <f t="shared" si="10"/>
        <v>2.1668742911349521E-3</v>
      </c>
      <c r="Y15" s="44" t="s">
        <v>10</v>
      </c>
      <c r="AA15" s="57">
        <v>1554.58</v>
      </c>
      <c r="AB15" s="46">
        <f t="shared" si="12"/>
        <v>18654.96</v>
      </c>
    </row>
    <row r="16" spans="1:30" x14ac:dyDescent="0.25">
      <c r="A16" s="169"/>
      <c r="B16" s="44" t="s">
        <v>11</v>
      </c>
      <c r="C16" s="46">
        <v>18150.246511262383</v>
      </c>
      <c r="D16" s="46">
        <v>2722.5369766893573</v>
      </c>
      <c r="E16" s="46">
        <f>+$D16*'2nd baseline 2030'!U16/1000000</f>
        <v>225.98564982859091</v>
      </c>
      <c r="F16" s="46">
        <f>+$D16*'2nd baseline 2030'!V16/1000000</f>
        <v>234.47322837618475</v>
      </c>
      <c r="G16" s="46">
        <f>+$D16*'2nd baseline 2030'!W16/1000000</f>
        <v>345.92630804385459</v>
      </c>
      <c r="H16" s="46">
        <f>+$D16*'2nd baseline 2030'!X16/1000000</f>
        <v>417.20030120670555</v>
      </c>
      <c r="I16" s="46">
        <f>+$D16*'2nd baseline 2030'!Y16/1000000</f>
        <v>0</v>
      </c>
      <c r="J16" s="46">
        <f>+$D16*'2nd baseline 2030'!Z16/1000000</f>
        <v>18.585898516771589</v>
      </c>
      <c r="K16" s="46">
        <f>+$D16*'2nd baseline 2030'!AA16/1000000</f>
        <v>200.89328785503801</v>
      </c>
      <c r="L16" s="46">
        <f>+$D16*'2nd baseline 2030'!AB16/1000000</f>
        <v>244.41445694247406</v>
      </c>
      <c r="N16" s="44" t="s">
        <v>11</v>
      </c>
      <c r="O16" s="85">
        <v>165.82979999999998</v>
      </c>
      <c r="P16" s="84">
        <f t="shared" si="11"/>
        <v>1.1583430864314029E-3</v>
      </c>
      <c r="Q16" s="84">
        <f t="shared" si="4"/>
        <v>1.2018481848241815E-3</v>
      </c>
      <c r="R16" s="84">
        <f t="shared" si="5"/>
        <v>1.7731273983160835E-3</v>
      </c>
      <c r="S16" s="84">
        <f t="shared" si="6"/>
        <v>2.1384591673251716E-3</v>
      </c>
      <c r="T16" s="93">
        <f t="shared" si="7"/>
        <v>0</v>
      </c>
      <c r="U16" s="94">
        <f t="shared" si="8"/>
        <v>9.5266434255217403E-5</v>
      </c>
      <c r="V16" s="94">
        <f t="shared" si="9"/>
        <v>1.029726229403776E-3</v>
      </c>
      <c r="W16" s="94">
        <f t="shared" si="10"/>
        <v>1.2528043114150953E-3</v>
      </c>
      <c r="Y16" s="44" t="s">
        <v>11</v>
      </c>
      <c r="AA16" s="57">
        <v>758.33</v>
      </c>
      <c r="AB16" s="46">
        <f t="shared" si="12"/>
        <v>9099.9600000000009</v>
      </c>
    </row>
    <row r="17" spans="1:28" x14ac:dyDescent="0.25">
      <c r="A17" s="169"/>
      <c r="B17" s="44" t="s">
        <v>26</v>
      </c>
      <c r="C17" s="46">
        <v>7011.7058496022464</v>
      </c>
      <c r="D17" s="46">
        <v>1051.7558774403369</v>
      </c>
      <c r="E17" s="46">
        <f>+$D17*'2nd baseline 2030'!U17/1000000</f>
        <v>26.775500631828347</v>
      </c>
      <c r="F17" s="46">
        <f>+$D17*'2nd baseline 2030'!V17/1000000</f>
        <v>31.074825151615798</v>
      </c>
      <c r="G17" s="46">
        <f>+$D17*'2nd baseline 2030'!W17/1000000</f>
        <v>32.933682345873343</v>
      </c>
      <c r="H17" s="46">
        <f>+$D17*'2nd baseline 2030'!X17/1000000</f>
        <v>33.832979808022316</v>
      </c>
      <c r="I17" s="46">
        <f>+$D17*'2nd baseline 2030'!Y17/1000000</f>
        <v>26.775500631828347</v>
      </c>
      <c r="J17" s="46">
        <f>+$D17*'2nd baseline 2030'!Z17/1000000</f>
        <v>31.074825151615798</v>
      </c>
      <c r="K17" s="46">
        <f>+$D17*'2nd baseline 2030'!AA17/1000000</f>
        <v>32.933682345873343</v>
      </c>
      <c r="L17" s="46">
        <f>+$D17*'2nd baseline 2030'!AB17/1000000</f>
        <v>33.832979808022316</v>
      </c>
      <c r="N17" s="44" t="s">
        <v>26</v>
      </c>
      <c r="O17" s="85">
        <v>49.283300000000004</v>
      </c>
      <c r="P17" s="84">
        <f t="shared" si="11"/>
        <v>4.6180299486954187E-4</v>
      </c>
      <c r="Q17" s="84">
        <f t="shared" si="4"/>
        <v>5.3595439791721388E-4</v>
      </c>
      <c r="R17" s="84">
        <f t="shared" si="5"/>
        <v>5.6801452000966525E-4</v>
      </c>
      <c r="S17" s="84">
        <f t="shared" si="6"/>
        <v>5.8352490269156015E-4</v>
      </c>
      <c r="T17" s="93">
        <f t="shared" si="7"/>
        <v>4.6180299486954187E-4</v>
      </c>
      <c r="U17" s="94">
        <f t="shared" si="8"/>
        <v>5.3595439791721388E-4</v>
      </c>
      <c r="V17" s="94">
        <f t="shared" si="9"/>
        <v>5.6801452000966525E-4</v>
      </c>
      <c r="W17" s="94">
        <f t="shared" si="10"/>
        <v>5.8352490269156015E-4</v>
      </c>
      <c r="Y17" s="44" t="s">
        <v>26</v>
      </c>
      <c r="AA17" s="57">
        <v>567.32000000000005</v>
      </c>
      <c r="AB17" s="46">
        <f t="shared" si="12"/>
        <v>6807.84</v>
      </c>
    </row>
    <row r="18" spans="1:28" x14ac:dyDescent="0.25">
      <c r="A18" s="169"/>
      <c r="B18" s="44" t="s">
        <v>12</v>
      </c>
      <c r="C18" s="46">
        <v>8322.9586400528497</v>
      </c>
      <c r="D18" s="46">
        <v>1248.4437960079274</v>
      </c>
      <c r="E18" s="46">
        <f>+$D18*'2nd baseline 2030'!U18/1000000</f>
        <v>66.137543919720585</v>
      </c>
      <c r="F18" s="46">
        <f>+$D18*'2nd baseline 2030'!V18/1000000</f>
        <v>75.994150457157815</v>
      </c>
      <c r="G18" s="46">
        <f>+$D18*'2nd baseline 2030'!W18/1000000</f>
        <v>72.152381742444717</v>
      </c>
      <c r="H18" s="46">
        <f>+$D18*'2nd baseline 2030'!X18/1000000</f>
        <v>87.892393343639256</v>
      </c>
      <c r="I18" s="46">
        <f>+$D18*'2nd baseline 2030'!Y18/1000000</f>
        <v>66.137543919720585</v>
      </c>
      <c r="J18" s="46">
        <f>+$D18*'2nd baseline 2030'!Z18/1000000</f>
        <v>75.994150457157815</v>
      </c>
      <c r="K18" s="46">
        <f>+$D18*'2nd baseline 2030'!AA18/1000000</f>
        <v>72.152381742444717</v>
      </c>
      <c r="L18" s="46">
        <f>+$D18*'2nd baseline 2030'!AB18/1000000</f>
        <v>87.892393343639256</v>
      </c>
      <c r="N18" s="44" t="s">
        <v>12</v>
      </c>
      <c r="O18" s="85">
        <v>135.92449999999999</v>
      </c>
      <c r="P18" s="84">
        <f t="shared" si="11"/>
        <v>4.135892523552597E-4</v>
      </c>
      <c r="Q18" s="84">
        <f t="shared" si="4"/>
        <v>4.7522726137366067E-4</v>
      </c>
      <c r="R18" s="84">
        <f t="shared" si="5"/>
        <v>4.512028698364019E-4</v>
      </c>
      <c r="S18" s="84">
        <f t="shared" si="6"/>
        <v>5.496325853109143E-4</v>
      </c>
      <c r="T18" s="93">
        <f t="shared" si="7"/>
        <v>4.135892523552597E-4</v>
      </c>
      <c r="U18" s="94">
        <f t="shared" si="8"/>
        <v>4.7522726137366067E-4</v>
      </c>
      <c r="V18" s="94">
        <f t="shared" si="9"/>
        <v>4.512028698364019E-4</v>
      </c>
      <c r="W18" s="94">
        <f t="shared" si="10"/>
        <v>5.496325853109143E-4</v>
      </c>
      <c r="Y18" s="44" t="s">
        <v>12</v>
      </c>
      <c r="AA18" s="57">
        <v>476</v>
      </c>
      <c r="AB18" s="46">
        <f t="shared" si="12"/>
        <v>5712</v>
      </c>
    </row>
    <row r="19" spans="1:28" x14ac:dyDescent="0.25">
      <c r="A19" s="169"/>
      <c r="B19" s="44" t="s">
        <v>13</v>
      </c>
      <c r="C19" s="46">
        <v>22547.278486886848</v>
      </c>
      <c r="D19" s="46">
        <v>3382.091773033027</v>
      </c>
      <c r="E19" s="46">
        <f>+$D19*'2nd baseline 2030'!U19/1000000</f>
        <v>84.937357947160748</v>
      </c>
      <c r="F19" s="46">
        <f>+$D19*'2nd baseline 2030'!V19/1000000</f>
        <v>80.023184915366315</v>
      </c>
      <c r="G19" s="46">
        <f>+$D19*'2nd baseline 2030'!W19/1000000</f>
        <v>114.37026226894785</v>
      </c>
      <c r="H19" s="46">
        <f>+$D19*'2nd baseline 2030'!X19/1000000</f>
        <v>130.22612911476705</v>
      </c>
      <c r="I19" s="46">
        <f>+$D19*'2nd baseline 2030'!Y19/1000000</f>
        <v>84.937357947160748</v>
      </c>
      <c r="J19" s="46">
        <f>+$D19*'2nd baseline 2030'!Z19/1000000</f>
        <v>79.968522849908666</v>
      </c>
      <c r="K19" s="46">
        <f>+$D19*'2nd baseline 2030'!AA19/1000000</f>
        <v>114.37026226894785</v>
      </c>
      <c r="L19" s="46">
        <f>+$D19*'2nd baseline 2030'!AB19/1000000</f>
        <v>129.75701569451431</v>
      </c>
      <c r="N19" s="44" t="s">
        <v>13</v>
      </c>
      <c r="O19" s="85">
        <v>366.5061</v>
      </c>
      <c r="P19" s="84">
        <f t="shared" si="11"/>
        <v>1.9698650105710828E-4</v>
      </c>
      <c r="Q19" s="84">
        <f t="shared" si="4"/>
        <v>1.8558956366090869E-4</v>
      </c>
      <c r="R19" s="84">
        <f t="shared" si="5"/>
        <v>2.6524721670009225E-4</v>
      </c>
      <c r="S19" s="84">
        <f t="shared" si="6"/>
        <v>3.0202010211440408E-4</v>
      </c>
      <c r="T19" s="93">
        <f t="shared" si="7"/>
        <v>1.9698650105710828E-4</v>
      </c>
      <c r="U19" s="94">
        <f t="shared" si="8"/>
        <v>1.8546279153995628E-4</v>
      </c>
      <c r="V19" s="94">
        <f t="shared" si="9"/>
        <v>2.6524721670009225E-4</v>
      </c>
      <c r="W19" s="94">
        <f t="shared" si="10"/>
        <v>3.0093213548243035E-4</v>
      </c>
      <c r="Y19" s="44" t="s">
        <v>13</v>
      </c>
      <c r="AA19" s="57">
        <v>1723.8</v>
      </c>
      <c r="AB19" s="46">
        <f t="shared" si="12"/>
        <v>20685.599999999999</v>
      </c>
    </row>
    <row r="20" spans="1:28" x14ac:dyDescent="0.25">
      <c r="A20" s="169"/>
      <c r="B20" s="44" t="s">
        <v>14</v>
      </c>
      <c r="C20" s="46">
        <v>23407.080681795062</v>
      </c>
      <c r="D20" s="46">
        <v>3511.062102269259</v>
      </c>
      <c r="E20" s="46">
        <f>+$D20*'2nd baseline 2030'!U20/1000000</f>
        <v>6163.5138347305228</v>
      </c>
      <c r="F20" s="46">
        <f>+$D20*'2nd baseline 2030'!V20/1000000</f>
        <v>6400.8010707146168</v>
      </c>
      <c r="G20" s="46">
        <f>+$D20*'2nd baseline 2030'!W20/1000000</f>
        <v>9528.9654073879774</v>
      </c>
      <c r="H20" s="46">
        <f>+$D20*'2nd baseline 2030'!X20/1000000</f>
        <v>11317.612796271209</v>
      </c>
      <c r="I20" s="46">
        <f>+$D20*'2nd baseline 2030'!Y20/1000000</f>
        <v>5238.9867595209444</v>
      </c>
      <c r="J20" s="46">
        <f>+$D20*'2nd baseline 2030'!Z20/1000000</f>
        <v>5239.1805112362863</v>
      </c>
      <c r="K20" s="46">
        <f>+$D20*'2nd baseline 2030'!AA20/1000000</f>
        <v>6535.7331094197998</v>
      </c>
      <c r="L20" s="46">
        <f>+$D20*'2nd baseline 2030'!AB20/1000000</f>
        <v>7814.2472159991285</v>
      </c>
      <c r="N20" s="44" t="s">
        <v>14</v>
      </c>
      <c r="O20" s="85">
        <v>1651.5948999999998</v>
      </c>
      <c r="P20" s="84">
        <f t="shared" si="11"/>
        <v>3.1720773414358112E-3</v>
      </c>
      <c r="Q20" s="84">
        <f t="shared" si="4"/>
        <v>3.2941981778385394E-3</v>
      </c>
      <c r="R20" s="84">
        <f t="shared" si="5"/>
        <v>4.9041206147341461E-3</v>
      </c>
      <c r="S20" s="84">
        <f t="shared" si="6"/>
        <v>5.8246552328482777E-3</v>
      </c>
      <c r="T20" s="93">
        <f t="shared" si="7"/>
        <v>2.6962657402204394E-3</v>
      </c>
      <c r="U20" s="94">
        <f t="shared" si="8"/>
        <v>2.6963654553249367E-3</v>
      </c>
      <c r="V20" s="94">
        <f t="shared" si="9"/>
        <v>3.3636414976861641E-3</v>
      </c>
      <c r="W20" s="94">
        <f t="shared" si="10"/>
        <v>4.0216339573337619E-3</v>
      </c>
      <c r="Y20" s="44" t="s">
        <v>14</v>
      </c>
      <c r="Z20" s="43" t="s">
        <v>8</v>
      </c>
      <c r="AA20" s="168">
        <f>+AA13</f>
        <v>1108.33</v>
      </c>
      <c r="AB20" s="46">
        <f t="shared" si="12"/>
        <v>13299.96</v>
      </c>
    </row>
    <row r="21" spans="1:28" x14ac:dyDescent="0.25">
      <c r="A21" s="169"/>
      <c r="B21" s="44" t="s">
        <v>15</v>
      </c>
      <c r="C21" s="46">
        <v>6975.4103797412499</v>
      </c>
      <c r="D21" s="46">
        <v>1046.3115569611875</v>
      </c>
      <c r="E21" s="46">
        <f>+$D21*'2nd baseline 2030'!U21/1000000</f>
        <v>2.7850563978291745</v>
      </c>
      <c r="F21" s="46">
        <f>+$D21*'2nd baseline 2030'!V21/1000000</f>
        <v>3.3658984763872688</v>
      </c>
      <c r="G21" s="46">
        <f>+$D21*'2nd baseline 2030'!W21/1000000</f>
        <v>4.1094426692974695</v>
      </c>
      <c r="H21" s="46">
        <f>+$D21*'2nd baseline 2030'!X21/1000000</f>
        <v>5.1535343455016225</v>
      </c>
      <c r="I21" s="46">
        <f>+$D21*'2nd baseline 2030'!Y21/1000000</f>
        <v>2.7850563978291745</v>
      </c>
      <c r="J21" s="46">
        <f>+$D21*'2nd baseline 2030'!Z21/1000000</f>
        <v>3.3658984763872688</v>
      </c>
      <c r="K21" s="46">
        <f>+$D21*'2nd baseline 2030'!AA21/1000000</f>
        <v>4.1094426692974695</v>
      </c>
      <c r="L21" s="46">
        <f>+$D21*'2nd baseline 2030'!AB21/1000000</f>
        <v>5.1535343455016225</v>
      </c>
      <c r="N21" s="44" t="s">
        <v>15</v>
      </c>
      <c r="O21" s="85">
        <v>48.929699999999997</v>
      </c>
      <c r="P21" s="84">
        <f t="shared" si="11"/>
        <v>4.8381615627212067E-5</v>
      </c>
      <c r="Q21" s="84">
        <f t="shared" si="4"/>
        <v>5.8471924105996535E-5</v>
      </c>
      <c r="R21" s="84">
        <f t="shared" si="5"/>
        <v>7.138867127537772E-5</v>
      </c>
      <c r="S21" s="84">
        <f t="shared" si="6"/>
        <v>8.952648787293565E-5</v>
      </c>
      <c r="T21" s="93">
        <f t="shared" si="7"/>
        <v>4.8381615627212067E-5</v>
      </c>
      <c r="U21" s="94">
        <f t="shared" si="8"/>
        <v>5.8471924105996535E-5</v>
      </c>
      <c r="V21" s="94">
        <f t="shared" si="9"/>
        <v>7.138867127537772E-5</v>
      </c>
      <c r="W21" s="94">
        <f t="shared" si="10"/>
        <v>8.952648787293565E-5</v>
      </c>
      <c r="Y21" s="44" t="s">
        <v>15</v>
      </c>
      <c r="AA21" s="57">
        <v>642</v>
      </c>
      <c r="AB21" s="46">
        <f t="shared" si="12"/>
        <v>7704</v>
      </c>
    </row>
    <row r="22" spans="1:28" x14ac:dyDescent="0.25">
      <c r="A22" s="169"/>
      <c r="B22" s="44" t="s">
        <v>16</v>
      </c>
      <c r="C22" s="46">
        <v>43116.77050354227</v>
      </c>
      <c r="D22" s="46">
        <v>6467.5155755313399</v>
      </c>
      <c r="E22" s="46">
        <f>+$D22*'2nd baseline 2030'!U22/1000000</f>
        <v>19.013570272400667</v>
      </c>
      <c r="F22" s="46">
        <f>+$D22*'2nd baseline 2030'!V22/1000000</f>
        <v>28.344920424885835</v>
      </c>
      <c r="G22" s="46">
        <f>+$D22*'2nd baseline 2030'!W22/1000000</f>
        <v>27.260654989476954</v>
      </c>
      <c r="H22" s="46">
        <f>+$D22*'2nd baseline 2030'!X22/1000000</f>
        <v>35.157714636488066</v>
      </c>
      <c r="I22" s="46">
        <f>+$D22*'2nd baseline 2030'!Y22/1000000</f>
        <v>19.013570272400667</v>
      </c>
      <c r="J22" s="46">
        <f>+$D22*'2nd baseline 2030'!Z22/1000000</f>
        <v>28.344920424885835</v>
      </c>
      <c r="K22" s="46">
        <f>+$D22*'2nd baseline 2030'!AA22/1000000</f>
        <v>27.260654989476954</v>
      </c>
      <c r="L22" s="46">
        <f>+$D22*'2nd baseline 2030'!AB22/1000000</f>
        <v>35.157714636488066</v>
      </c>
      <c r="N22" s="44" t="s">
        <v>16</v>
      </c>
      <c r="O22" s="85">
        <v>64.143100000000004</v>
      </c>
      <c r="P22" s="84">
        <f t="shared" si="11"/>
        <v>2.5196061199942886E-4</v>
      </c>
      <c r="Q22" s="84">
        <f t="shared" si="4"/>
        <v>3.7561612022420115E-4</v>
      </c>
      <c r="R22" s="84">
        <f t="shared" si="5"/>
        <v>3.6124784647226916E-4</v>
      </c>
      <c r="S22" s="84">
        <f t="shared" si="6"/>
        <v>4.6589668165422085E-4</v>
      </c>
      <c r="T22" s="93">
        <f t="shared" si="7"/>
        <v>2.5196061199942886E-4</v>
      </c>
      <c r="U22" s="94">
        <f t="shared" si="8"/>
        <v>3.7561612022420115E-4</v>
      </c>
      <c r="V22" s="94">
        <f t="shared" si="9"/>
        <v>3.6124784647226916E-4</v>
      </c>
      <c r="W22" s="94">
        <f t="shared" si="10"/>
        <v>4.6589668165422085E-4</v>
      </c>
      <c r="Y22" s="44" t="s">
        <v>16</v>
      </c>
      <c r="AA22" s="57">
        <v>2201.9299999999998</v>
      </c>
      <c r="AB22" s="46">
        <f t="shared" si="12"/>
        <v>26423.159999999996</v>
      </c>
    </row>
    <row r="23" spans="1:28" x14ac:dyDescent="0.25">
      <c r="A23" s="169"/>
      <c r="B23" s="44" t="s">
        <v>17</v>
      </c>
      <c r="C23" s="46">
        <v>4363.8068671584861</v>
      </c>
      <c r="D23" s="46">
        <v>654.57103007377293</v>
      </c>
      <c r="E23" s="46">
        <f>+$D23*'2nd baseline 2030'!U23/1000000</f>
        <v>3.3950793905372585</v>
      </c>
      <c r="F23" s="46">
        <f>+$D23*'2nd baseline 2030'!V23/1000000</f>
        <v>3.9701257901509059</v>
      </c>
      <c r="G23" s="46">
        <f>+$D23*'2nd baseline 2030'!W23/1000000</f>
        <v>3.9455503876095523</v>
      </c>
      <c r="H23" s="46">
        <f>+$D23*'2nd baseline 2030'!X23/1000000</f>
        <v>4.5502353853774364</v>
      </c>
      <c r="I23" s="46">
        <f>+$D23*'2nd baseline 2030'!Y23/1000000</f>
        <v>3.3950793905372585</v>
      </c>
      <c r="J23" s="46">
        <f>+$D23*'2nd baseline 2030'!Z23/1000000</f>
        <v>3.9701257901509059</v>
      </c>
      <c r="K23" s="46">
        <f>+$D23*'2nd baseline 2030'!AA23/1000000</f>
        <v>3.9455503876095523</v>
      </c>
      <c r="L23" s="46">
        <f>+$D23*'2nd baseline 2030'!AB23/1000000</f>
        <v>4.5502353853774364</v>
      </c>
      <c r="N23" s="44" t="s">
        <v>17</v>
      </c>
      <c r="O23" s="85">
        <v>29.334</v>
      </c>
      <c r="P23" s="84">
        <f t="shared" si="11"/>
        <v>9.8377905568850806E-5</v>
      </c>
      <c r="Q23" s="84">
        <f t="shared" si="4"/>
        <v>1.1504080321907241E-4</v>
      </c>
      <c r="R23" s="84">
        <f t="shared" si="5"/>
        <v>1.1432869126161176E-4</v>
      </c>
      <c r="S23" s="84">
        <f t="shared" si="6"/>
        <v>1.3185041513502491E-4</v>
      </c>
      <c r="T23" s="93">
        <f t="shared" si="7"/>
        <v>9.8377905568850806E-5</v>
      </c>
      <c r="U23" s="94">
        <f t="shared" si="8"/>
        <v>1.1504080321907241E-4</v>
      </c>
      <c r="V23" s="94">
        <f t="shared" si="9"/>
        <v>1.1432869126161176E-4</v>
      </c>
      <c r="W23" s="94">
        <f t="shared" si="10"/>
        <v>1.3185041513502491E-4</v>
      </c>
      <c r="Y23" s="44" t="s">
        <v>17</v>
      </c>
      <c r="AA23" s="57">
        <v>500</v>
      </c>
      <c r="AB23" s="46">
        <f t="shared" si="12"/>
        <v>6000</v>
      </c>
    </row>
    <row r="24" spans="1:28" x14ac:dyDescent="0.25">
      <c r="A24" s="169"/>
      <c r="B24" s="44" t="s">
        <v>18</v>
      </c>
      <c r="C24" s="46">
        <v>16893.220962094383</v>
      </c>
      <c r="D24" s="46">
        <v>2533.9831443141575</v>
      </c>
      <c r="E24" s="46">
        <f>+$D24*'2nd baseline 2030'!U24/1000000</f>
        <v>6.0791276246262917</v>
      </c>
      <c r="F24" s="46">
        <f>+$D24*'2nd baseline 2030'!V24/1000000</f>
        <v>9.1288567645696972</v>
      </c>
      <c r="G24" s="46">
        <f>+$D24*'2nd baseline 2030'!W24/1000000</f>
        <v>12.03103482757782</v>
      </c>
      <c r="H24" s="46">
        <f>+$D24*'2nd baseline 2030'!X24/1000000</f>
        <v>14.846049055764247</v>
      </c>
      <c r="I24" s="46">
        <f>+$D24*'2nd baseline 2030'!Y24/1000000</f>
        <v>6.0791276246262917</v>
      </c>
      <c r="J24" s="46">
        <f>+$D24*'2nd baseline 2030'!Z24/1000000</f>
        <v>9.1288567645696972</v>
      </c>
      <c r="K24" s="46">
        <f>+$D24*'2nd baseline 2030'!AA24/1000000</f>
        <v>12.03103482757782</v>
      </c>
      <c r="L24" s="46">
        <f>+$D24*'2nd baseline 2030'!AB24/1000000</f>
        <v>14.846049055764247</v>
      </c>
      <c r="N24" s="44" t="s">
        <v>18</v>
      </c>
      <c r="O24" s="85">
        <v>12.7014</v>
      </c>
      <c r="P24" s="84">
        <f t="shared" si="11"/>
        <v>4.0682589958054605E-4</v>
      </c>
      <c r="Q24" s="84">
        <f t="shared" si="4"/>
        <v>6.1091913095282749E-4</v>
      </c>
      <c r="R24" s="84">
        <f t="shared" si="5"/>
        <v>8.0513798506000485E-4</v>
      </c>
      <c r="S24" s="84">
        <f t="shared" si="6"/>
        <v>9.9352368222397616E-4</v>
      </c>
      <c r="T24" s="93">
        <f t="shared" si="7"/>
        <v>4.0682589958054605E-4</v>
      </c>
      <c r="U24" s="94">
        <f t="shared" si="8"/>
        <v>6.1091913095282749E-4</v>
      </c>
      <c r="V24" s="94">
        <f t="shared" si="9"/>
        <v>8.0513798506000485E-4</v>
      </c>
      <c r="W24" s="94">
        <f t="shared" si="10"/>
        <v>9.9352368222397616E-4</v>
      </c>
      <c r="Y24" s="44" t="s">
        <v>18</v>
      </c>
      <c r="AA24" s="43">
        <v>784.68</v>
      </c>
      <c r="AB24" s="46">
        <f t="shared" si="12"/>
        <v>9416.16</v>
      </c>
    </row>
    <row r="25" spans="1:28" x14ac:dyDescent="0.25">
      <c r="A25" s="169"/>
      <c r="B25" s="44" t="s">
        <v>19</v>
      </c>
      <c r="C25" s="46">
        <v>30545.017432790548</v>
      </c>
      <c r="D25" s="46">
        <v>4581.7526149185824</v>
      </c>
      <c r="E25" s="46">
        <f>+$D25*'2nd baseline 2030'!U25/1000000</f>
        <v>1854.5394159839759</v>
      </c>
      <c r="F25" s="46">
        <f>+$D25*'2nd baseline 2030'!V25/1000000</f>
        <v>1708.9788165220627</v>
      </c>
      <c r="G25" s="46">
        <f>+$D25*'2nd baseline 2030'!W25/1000000</f>
        <v>2363.8191087065038</v>
      </c>
      <c r="H25" s="46">
        <f>+$D25*'2nd baseline 2030'!X25/1000000</f>
        <v>2910.7238229789618</v>
      </c>
      <c r="I25" s="46">
        <f>+$D25*'2nd baseline 2030'!Y25/1000000</f>
        <v>1854.5394159839759</v>
      </c>
      <c r="J25" s="46">
        <f>+$D25*'2nd baseline 2030'!Z25/1000000</f>
        <v>1653.384994450731</v>
      </c>
      <c r="K25" s="46">
        <f>+$D25*'2nd baseline 2030'!AA25/1000000</f>
        <v>1788.2360464914732</v>
      </c>
      <c r="L25" s="46">
        <f>+$D25*'2nd baseline 2030'!AB25/1000000</f>
        <v>2325.6522165519787</v>
      </c>
      <c r="N25" s="44" t="s">
        <v>19</v>
      </c>
      <c r="O25" s="85">
        <v>800.09500000000003</v>
      </c>
      <c r="P25" s="84">
        <f t="shared" si="11"/>
        <v>1.9702141665506965E-3</v>
      </c>
      <c r="Q25" s="84">
        <f t="shared" si="4"/>
        <v>1.8155743930955116E-3</v>
      </c>
      <c r="R25" s="84">
        <f t="shared" si="5"/>
        <v>2.511259590924238E-3</v>
      </c>
      <c r="S25" s="84">
        <f t="shared" si="6"/>
        <v>3.0922768540387301E-3</v>
      </c>
      <c r="T25" s="93">
        <f t="shared" si="7"/>
        <v>1.9702141665506965E-3</v>
      </c>
      <c r="U25" s="94">
        <f t="shared" si="8"/>
        <v>1.7565129706886323E-3</v>
      </c>
      <c r="V25" s="94">
        <f t="shared" si="9"/>
        <v>1.8997752010920606E-3</v>
      </c>
      <c r="W25" s="94">
        <f t="shared" si="10"/>
        <v>2.470712083026618E-3</v>
      </c>
      <c r="Y25" s="44" t="s">
        <v>19</v>
      </c>
      <c r="AA25" s="43">
        <v>1701</v>
      </c>
      <c r="AB25" s="46">
        <f t="shared" si="12"/>
        <v>20412</v>
      </c>
    </row>
    <row r="26" spans="1:28" x14ac:dyDescent="0.25">
      <c r="A26" s="169"/>
      <c r="B26" s="44" t="s">
        <v>20</v>
      </c>
      <c r="C26" s="46">
        <v>8143.2502567053152</v>
      </c>
      <c r="D26" s="46">
        <v>1221.4875385057971</v>
      </c>
      <c r="E26" s="46">
        <f>+$D26*'2nd baseline 2030'!U26/1000000</f>
        <v>141.74805891077571</v>
      </c>
      <c r="F26" s="46">
        <f>+$D26*'2nd baseline 2030'!V26/1000000</f>
        <v>164.65155876752522</v>
      </c>
      <c r="G26" s="46">
        <f>+$D26*'2nd baseline 2030'!W26/1000000</f>
        <v>165.84244933758802</v>
      </c>
      <c r="H26" s="46">
        <f>+$D26*'2nd baseline 2030'!X26/1000000</f>
        <v>212.36407976486061</v>
      </c>
      <c r="I26" s="46">
        <f>+$D26*'2nd baseline 2030'!Y26/1000000</f>
        <v>0</v>
      </c>
      <c r="J26" s="46">
        <f>+$D26*'2nd baseline 2030'!Z26/1000000</f>
        <v>0</v>
      </c>
      <c r="K26" s="46">
        <f>+$D26*'2nd baseline 2030'!AA26/1000000</f>
        <v>0</v>
      </c>
      <c r="L26" s="46">
        <f>+$D26*'2nd baseline 2030'!AB26/1000000</f>
        <v>0</v>
      </c>
      <c r="N26" s="44" t="s">
        <v>20</v>
      </c>
      <c r="O26" s="85">
        <v>523.03829999999994</v>
      </c>
      <c r="P26" s="84">
        <f t="shared" si="11"/>
        <v>2.3035760492904508E-4</v>
      </c>
      <c r="Q26" s="84">
        <f t="shared" si="4"/>
        <v>2.6757854052446338E-4</v>
      </c>
      <c r="R26" s="84">
        <f t="shared" si="5"/>
        <v>2.6951388060291159E-4</v>
      </c>
      <c r="S26" s="84">
        <f t="shared" si="6"/>
        <v>3.4511711245645212E-4</v>
      </c>
      <c r="T26" s="93">
        <f t="shared" si="7"/>
        <v>0</v>
      </c>
      <c r="U26" s="94">
        <f t="shared" si="8"/>
        <v>0</v>
      </c>
      <c r="V26" s="94">
        <f t="shared" si="9"/>
        <v>0</v>
      </c>
      <c r="W26" s="94">
        <f t="shared" si="10"/>
        <v>0</v>
      </c>
      <c r="Y26" s="44" t="s">
        <v>20</v>
      </c>
      <c r="AA26" s="43">
        <v>619.46</v>
      </c>
      <c r="AB26" s="46">
        <f t="shared" si="12"/>
        <v>7433.52</v>
      </c>
    </row>
    <row r="27" spans="1:28" x14ac:dyDescent="0.25">
      <c r="A27" s="169"/>
      <c r="B27" s="44" t="s">
        <v>21</v>
      </c>
      <c r="C27" s="46">
        <v>10122.708239381778</v>
      </c>
      <c r="D27" s="46">
        <v>1518.4062359072666</v>
      </c>
      <c r="E27" s="46">
        <f>+$D27*'2nd baseline 2030'!U27/1000000</f>
        <v>404.49622031157088</v>
      </c>
      <c r="F27" s="46">
        <f>+$D27*'2nd baseline 2030'!V27/1000000</f>
        <v>468.49403954120953</v>
      </c>
      <c r="G27" s="46">
        <f>+$D27*'2nd baseline 2030'!W27/1000000</f>
        <v>579.53105446735333</v>
      </c>
      <c r="H27" s="46">
        <f>+$D27*'2nd baseline 2030'!X27/1000000</f>
        <v>677.96390801907114</v>
      </c>
      <c r="I27" s="46">
        <f>+$D27*'2nd baseline 2030'!Y27/1000000</f>
        <v>343.82178726483522</v>
      </c>
      <c r="J27" s="46">
        <f>+$D27*'2nd baseline 2030'!Z27/1000000</f>
        <v>394.35270863852168</v>
      </c>
      <c r="K27" s="46">
        <f>+$D27*'2nd baseline 2030'!AA27/1000000</f>
        <v>412.51408034851346</v>
      </c>
      <c r="L27" s="46">
        <f>+$D27*'2nd baseline 2030'!AB27/1000000</f>
        <v>525.82519349944835</v>
      </c>
      <c r="N27" s="44" t="s">
        <v>21</v>
      </c>
      <c r="O27" s="85">
        <v>202.44049999999999</v>
      </c>
      <c r="P27" s="84">
        <f t="shared" si="11"/>
        <v>1.6983844006749401E-3</v>
      </c>
      <c r="Q27" s="84">
        <f t="shared" si="4"/>
        <v>1.9670961769508973E-3</v>
      </c>
      <c r="R27" s="84">
        <f t="shared" si="5"/>
        <v>2.4333144617665454E-3</v>
      </c>
      <c r="S27" s="84">
        <f t="shared" si="6"/>
        <v>2.8466108403022638E-3</v>
      </c>
      <c r="T27" s="93">
        <f t="shared" si="7"/>
        <v>1.4436267405736991E-3</v>
      </c>
      <c r="U27" s="94">
        <f t="shared" si="8"/>
        <v>1.6557941831933007E-3</v>
      </c>
      <c r="V27" s="94">
        <f t="shared" si="9"/>
        <v>1.73204950736753E-3</v>
      </c>
      <c r="W27" s="94">
        <f t="shared" si="10"/>
        <v>2.207816195250116E-3</v>
      </c>
      <c r="Y27" s="44" t="s">
        <v>21</v>
      </c>
      <c r="AA27" s="43">
        <v>775.83</v>
      </c>
      <c r="AB27" s="46">
        <f t="shared" si="12"/>
        <v>9309.9600000000009</v>
      </c>
    </row>
    <row r="28" spans="1:28" x14ac:dyDescent="0.25">
      <c r="A28" s="169"/>
      <c r="B28" s="44" t="s">
        <v>22</v>
      </c>
      <c r="C28" s="46">
        <v>4398.1352851411293</v>
      </c>
      <c r="D28" s="46">
        <v>659.7202927711694</v>
      </c>
      <c r="E28" s="46">
        <f>+$D28*'2nd baseline 2030'!U28/1000000</f>
        <v>55.045008872377309</v>
      </c>
      <c r="F28" s="46">
        <f>+$D28*'2nd baseline 2030'!V28/1000000</f>
        <v>65.257069748596535</v>
      </c>
      <c r="G28" s="46">
        <f>+$D28*'2nd baseline 2030'!W28/1000000</f>
        <v>101.80972370986257</v>
      </c>
      <c r="H28" s="46">
        <f>+$D28*'2nd baseline 2030'!X28/1000000</f>
        <v>105.66302253145741</v>
      </c>
      <c r="I28" s="46">
        <f>+$D28*'2nd baseline 2030'!Y28/1000000</f>
        <v>55.045008872377309</v>
      </c>
      <c r="J28" s="46">
        <f>+$D28*'2nd baseline 2030'!Z28/1000000</f>
        <v>65.257069748596535</v>
      </c>
      <c r="K28" s="46">
        <f>+$D28*'2nd baseline 2030'!AA28/1000000</f>
        <v>101.80972370986257</v>
      </c>
      <c r="L28" s="46">
        <f>+$D28*'2nd baseline 2030'!AB28/1000000</f>
        <v>105.66302253145741</v>
      </c>
      <c r="N28" s="44" t="s">
        <v>22</v>
      </c>
      <c r="O28" s="85">
        <v>218.1652</v>
      </c>
      <c r="P28" s="84">
        <f t="shared" si="11"/>
        <v>2.1446251529355146E-4</v>
      </c>
      <c r="Q28" s="84">
        <f t="shared" si="4"/>
        <v>2.5425003293974953E-4</v>
      </c>
      <c r="R28" s="84">
        <f t="shared" si="5"/>
        <v>3.9666392785551123E-4</v>
      </c>
      <c r="S28" s="84">
        <f t="shared" si="6"/>
        <v>4.1167688133459784E-4</v>
      </c>
      <c r="T28" s="93">
        <f t="shared" si="7"/>
        <v>2.1446251529355146E-4</v>
      </c>
      <c r="U28" s="94">
        <f t="shared" si="8"/>
        <v>2.5425003293974953E-4</v>
      </c>
      <c r="V28" s="94">
        <f t="shared" si="9"/>
        <v>3.9666392785551123E-4</v>
      </c>
      <c r="W28" s="94">
        <f t="shared" si="10"/>
        <v>4.1167688133459784E-4</v>
      </c>
      <c r="Y28" s="44" t="s">
        <v>22</v>
      </c>
      <c r="AA28" s="43">
        <v>466.72</v>
      </c>
      <c r="AB28" s="46">
        <f t="shared" si="12"/>
        <v>5600.64</v>
      </c>
    </row>
    <row r="29" spans="1:28" x14ac:dyDescent="0.25">
      <c r="A29" s="169"/>
      <c r="B29" s="44" t="s">
        <v>23</v>
      </c>
      <c r="C29" s="46">
        <v>17302.656837507941</v>
      </c>
      <c r="D29" s="46">
        <v>2595.3985256261908</v>
      </c>
      <c r="E29" s="46">
        <f>+$D29*'2nd baseline 2030'!U29/1000000</f>
        <v>547.61539917811581</v>
      </c>
      <c r="F29" s="46">
        <f>+$D29*'2nd baseline 2030'!V29/1000000</f>
        <v>589.67503750572155</v>
      </c>
      <c r="G29" s="46">
        <f>+$D29*'2nd baseline 2030'!W29/1000000</f>
        <v>638.42621376399825</v>
      </c>
      <c r="H29" s="46">
        <f>+$D29*'2nd baseline 2030'!X29/1000000</f>
        <v>678.97623593896935</v>
      </c>
      <c r="I29" s="46">
        <f>+$D29*'2nd baseline 2030'!Y29/1000000</f>
        <v>547.61539917811581</v>
      </c>
      <c r="J29" s="46">
        <f>+$D29*'2nd baseline 2030'!Z29/1000000</f>
        <v>570.46802288098547</v>
      </c>
      <c r="K29" s="46">
        <f>+$D29*'2nd baseline 2030'!AA29/1000000</f>
        <v>443.47645847344558</v>
      </c>
      <c r="L29" s="46">
        <f>+$D29*'2nd baseline 2030'!AB29/1000000</f>
        <v>517.55334971707032</v>
      </c>
      <c r="N29" s="44" t="s">
        <v>23</v>
      </c>
      <c r="O29" s="85">
        <v>474.7244</v>
      </c>
      <c r="P29" s="84">
        <f t="shared" si="11"/>
        <v>9.8051224942597944E-4</v>
      </c>
      <c r="Q29" s="84">
        <f t="shared" si="4"/>
        <v>1.0558205600551883E-3</v>
      </c>
      <c r="R29" s="84">
        <f t="shared" si="5"/>
        <v>1.143110153384571E-3</v>
      </c>
      <c r="S29" s="84">
        <f t="shared" si="6"/>
        <v>1.2157154773340573E-3</v>
      </c>
      <c r="T29" s="93">
        <f t="shared" si="7"/>
        <v>9.8051224942597944E-4</v>
      </c>
      <c r="U29" s="94">
        <f t="shared" si="8"/>
        <v>1.0214301591593726E-3</v>
      </c>
      <c r="V29" s="94">
        <f t="shared" si="9"/>
        <v>7.9405016827116689E-4</v>
      </c>
      <c r="W29" s="94">
        <f t="shared" si="10"/>
        <v>9.2668577233339961E-4</v>
      </c>
      <c r="Y29" s="44" t="s">
        <v>23</v>
      </c>
      <c r="Z29" s="43" t="s">
        <v>19</v>
      </c>
      <c r="AA29" s="168">
        <f>+AA$25</f>
        <v>1701</v>
      </c>
      <c r="AB29" s="46">
        <f t="shared" si="12"/>
        <v>20412</v>
      </c>
    </row>
    <row r="30" spans="1:28" x14ac:dyDescent="0.25">
      <c r="A30" s="169"/>
      <c r="B30" s="44" t="s">
        <v>24</v>
      </c>
      <c r="C30" s="46">
        <v>6237.2423561963242</v>
      </c>
      <c r="D30" s="46">
        <v>935.58635342944854</v>
      </c>
      <c r="E30" s="46">
        <f>+$D30*'2nd baseline 2030'!U30/1000000</f>
        <v>35.895761110825113</v>
      </c>
      <c r="F30" s="46">
        <f>+$D30*'2nd baseline 2030'!V30/1000000</f>
        <v>41.566476483814782</v>
      </c>
      <c r="G30" s="46">
        <f>+$D30*'2nd baseline 2030'!W30/1000000</f>
        <v>42.770795460373208</v>
      </c>
      <c r="H30" s="46">
        <f>+$D30*'2nd baseline 2030'!X30/1000000</f>
        <v>51.515318569849704</v>
      </c>
      <c r="I30" s="46">
        <f>+$D30*'2nd baseline 2030'!Y30/1000000</f>
        <v>35.895761110825113</v>
      </c>
      <c r="J30" s="46">
        <f>+$D30*'2nd baseline 2030'!Z30/1000000</f>
        <v>40.222075585989664</v>
      </c>
      <c r="K30" s="46">
        <f>+$D30*'2nd baseline 2030'!AA30/1000000</f>
        <v>30.776899638360259</v>
      </c>
      <c r="L30" s="46">
        <f>+$D30*'2nd baseline 2030'!AB30/1000000</f>
        <v>39.673733567710627</v>
      </c>
      <c r="N30" s="44" t="s">
        <v>24</v>
      </c>
      <c r="O30" s="85">
        <v>46.297199999999997</v>
      </c>
      <c r="P30" s="84">
        <f t="shared" si="11"/>
        <v>6.5903330966454439E-4</v>
      </c>
      <c r="Q30" s="84">
        <f t="shared" si="4"/>
        <v>7.631456116405002E-4</v>
      </c>
      <c r="R30" s="84">
        <f t="shared" si="5"/>
        <v>7.8525647644603184E-4</v>
      </c>
      <c r="S30" s="84">
        <f t="shared" si="6"/>
        <v>9.4580278687204087E-4</v>
      </c>
      <c r="T30" s="93">
        <f t="shared" si="7"/>
        <v>6.5903330966454439E-4</v>
      </c>
      <c r="U30" s="94">
        <f t="shared" si="8"/>
        <v>7.3846289296309957E-4</v>
      </c>
      <c r="V30" s="94">
        <f t="shared" si="9"/>
        <v>5.6505284752871065E-4</v>
      </c>
      <c r="W30" s="94">
        <f t="shared" si="10"/>
        <v>7.2839553002242109E-4</v>
      </c>
      <c r="Y30" s="44" t="s">
        <v>24</v>
      </c>
      <c r="AA30" s="43">
        <v>1024.24</v>
      </c>
      <c r="AB30" s="46">
        <f t="shared" si="12"/>
        <v>12290.880000000001</v>
      </c>
    </row>
    <row r="31" spans="1:28" x14ac:dyDescent="0.25">
      <c r="A31" s="169"/>
      <c r="B31" s="44" t="s">
        <v>25</v>
      </c>
      <c r="C31" s="46">
        <v>9073.3905063645288</v>
      </c>
      <c r="D31" s="46">
        <v>1361.0085759546794</v>
      </c>
      <c r="E31" s="46">
        <f>+$D31*'2nd baseline 2030'!U31/1000000</f>
        <v>21.685840224046672</v>
      </c>
      <c r="F31" s="46">
        <f>+$D31*'2nd baseline 2030'!V31/1000000</f>
        <v>25.025460776900115</v>
      </c>
      <c r="G31" s="46">
        <f>+$D31*'2nd baseline 2030'!W31/1000000</f>
        <v>32.863794369207277</v>
      </c>
      <c r="H31" s="46">
        <f>+$D31*'2nd baseline 2030'!X31/1000000</f>
        <v>37.335654547998153</v>
      </c>
      <c r="I31" s="46">
        <f>+$D31*'2nd baseline 2030'!Y31/1000000</f>
        <v>21.685840224046672</v>
      </c>
      <c r="J31" s="46">
        <f>+$D31*'2nd baseline 2030'!Z31/1000000</f>
        <v>25.025460776900115</v>
      </c>
      <c r="K31" s="46">
        <f>+$D31*'2nd baseline 2030'!AA31/1000000</f>
        <v>32.863794369207277</v>
      </c>
      <c r="L31" s="46">
        <f>+$D31*'2nd baseline 2030'!AB31/1000000</f>
        <v>37.335654547998153</v>
      </c>
      <c r="N31" s="44" t="s">
        <v>25</v>
      </c>
      <c r="O31" s="85">
        <v>91.555300000000003</v>
      </c>
      <c r="P31" s="84">
        <f t="shared" si="11"/>
        <v>2.0133148152471424E-4</v>
      </c>
      <c r="Q31" s="84">
        <f t="shared" si="4"/>
        <v>2.3233654043365156E-4</v>
      </c>
      <c r="R31" s="84">
        <f t="shared" si="5"/>
        <v>3.0510768042730661E-4</v>
      </c>
      <c r="S31" s="84">
        <f t="shared" si="6"/>
        <v>3.4662445937917768E-4</v>
      </c>
      <c r="T31" s="93">
        <f t="shared" si="7"/>
        <v>2.0133148152471424E-4</v>
      </c>
      <c r="U31" s="94">
        <f t="shared" si="8"/>
        <v>2.3233654043365156E-4</v>
      </c>
      <c r="V31" s="94">
        <f t="shared" si="9"/>
        <v>3.0510768042730661E-4</v>
      </c>
      <c r="W31" s="94">
        <f t="shared" si="10"/>
        <v>3.4662445937917768E-4</v>
      </c>
      <c r="Y31" s="44" t="s">
        <v>25</v>
      </c>
      <c r="AA31" s="43">
        <v>623</v>
      </c>
      <c r="AB31" s="46">
        <f t="shared" si="12"/>
        <v>7476</v>
      </c>
    </row>
    <row r="33" spans="1:30" x14ac:dyDescent="0.25">
      <c r="B33" s="95"/>
      <c r="N33" s="91" t="s">
        <v>353</v>
      </c>
      <c r="O33" s="117"/>
      <c r="P33" s="118">
        <f t="shared" ref="P33:W33" si="13">+SUMPRODUCT(P5:P31,$O5:$O31)/$O4</f>
        <v>1.3538556558706462E-3</v>
      </c>
      <c r="Q33" s="118">
        <f t="shared" si="13"/>
        <v>1.3721118495713038E-3</v>
      </c>
      <c r="R33" s="118">
        <f t="shared" si="13"/>
        <v>1.8520607865905884E-3</v>
      </c>
      <c r="S33" s="118">
        <f t="shared" si="13"/>
        <v>2.2089712584427812E-3</v>
      </c>
      <c r="T33" s="118">
        <f t="shared" si="13"/>
        <v>1.1428906464532741E-3</v>
      </c>
      <c r="U33" s="118">
        <f t="shared" si="13"/>
        <v>1.1548175795354986E-3</v>
      </c>
      <c r="V33" s="118">
        <f t="shared" si="13"/>
        <v>1.3910474545882066E-3</v>
      </c>
      <c r="W33" s="118">
        <f t="shared" si="13"/>
        <v>1.7241045270108702E-3</v>
      </c>
      <c r="Y33" s="91" t="s">
        <v>353</v>
      </c>
      <c r="AD33" s="117"/>
    </row>
    <row r="34" spans="1:30" x14ac:dyDescent="0.25">
      <c r="N34" s="60" t="s">
        <v>354</v>
      </c>
      <c r="Y34" s="60" t="s">
        <v>354</v>
      </c>
    </row>
    <row r="35" spans="1:30" x14ac:dyDescent="0.25">
      <c r="Y35" s="43" t="s">
        <v>392</v>
      </c>
    </row>
    <row r="38" spans="1:30" x14ac:dyDescent="0.25">
      <c r="A38" s="197"/>
      <c r="C38" s="162"/>
      <c r="D38" s="162"/>
      <c r="E38" s="162"/>
      <c r="F38" s="162"/>
      <c r="G38" s="162"/>
      <c r="H38" s="162"/>
      <c r="I38" s="162"/>
      <c r="J38" s="162"/>
      <c r="K38" s="162"/>
      <c r="L38" s="162"/>
      <c r="N38" s="162"/>
      <c r="O38" s="162"/>
      <c r="P38" s="162" t="e">
        <f>SUM(P40:P66)</f>
        <v>#REF!</v>
      </c>
      <c r="Q38" s="162" t="e">
        <f t="shared" ref="Q38:W38" si="14">SUM(Q40:Q66)</f>
        <v>#REF!</v>
      </c>
      <c r="R38" s="162" t="e">
        <f t="shared" si="14"/>
        <v>#REF!</v>
      </c>
      <c r="S38" s="162" t="e">
        <f t="shared" si="14"/>
        <v>#REF!</v>
      </c>
      <c r="T38" s="162" t="e">
        <f>SUM(T40:T66)</f>
        <v>#REF!</v>
      </c>
      <c r="U38" s="162" t="e">
        <f t="shared" si="14"/>
        <v>#REF!</v>
      </c>
      <c r="V38" s="162" t="e">
        <f t="shared" si="14"/>
        <v>#REF!</v>
      </c>
      <c r="W38" s="162" t="e">
        <f t="shared" si="14"/>
        <v>#REF!</v>
      </c>
      <c r="Y38" s="162"/>
      <c r="AD38" s="162"/>
    </row>
    <row r="40" spans="1:30" x14ac:dyDescent="0.25">
      <c r="P40" s="43" t="e">
        <f>#REF!*P5/#REF!</f>
        <v>#REF!</v>
      </c>
      <c r="Q40" s="43" t="e">
        <f>#REF!*Q5/#REF!</f>
        <v>#REF!</v>
      </c>
      <c r="R40" s="43" t="e">
        <f>#REF!*R5/#REF!</f>
        <v>#REF!</v>
      </c>
      <c r="S40" s="43" t="e">
        <f>#REF!*S5/#REF!</f>
        <v>#REF!</v>
      </c>
      <c r="T40" s="43" t="e">
        <f>#REF!*T5/#REF!</f>
        <v>#REF!</v>
      </c>
      <c r="U40" s="43" t="e">
        <f>#REF!*U5/#REF!</f>
        <v>#REF!</v>
      </c>
      <c r="V40" s="43" t="e">
        <f>#REF!*V5/#REF!</f>
        <v>#REF!</v>
      </c>
      <c r="W40" s="43" t="e">
        <f>#REF!*W5/#REF!</f>
        <v>#REF!</v>
      </c>
    </row>
    <row r="41" spans="1:30" x14ac:dyDescent="0.25">
      <c r="P41" s="43" t="e">
        <f>#REF!*P6/#REF!</f>
        <v>#REF!</v>
      </c>
      <c r="Q41" s="43" t="e">
        <f>#REF!*Q6/#REF!</f>
        <v>#REF!</v>
      </c>
      <c r="R41" s="43" t="e">
        <f>#REF!*R6/#REF!</f>
        <v>#REF!</v>
      </c>
      <c r="S41" s="43" t="e">
        <f>#REF!*S6/#REF!</f>
        <v>#REF!</v>
      </c>
      <c r="T41" s="43" t="e">
        <f>#REF!*T6/#REF!</f>
        <v>#REF!</v>
      </c>
      <c r="U41" s="43" t="e">
        <f>#REF!*U6/#REF!</f>
        <v>#REF!</v>
      </c>
      <c r="V41" s="43" t="e">
        <f>#REF!*V6/#REF!</f>
        <v>#REF!</v>
      </c>
      <c r="W41" s="43" t="e">
        <f>#REF!*W6/#REF!</f>
        <v>#REF!</v>
      </c>
    </row>
    <row r="42" spans="1:30" x14ac:dyDescent="0.25">
      <c r="P42" s="43" t="e">
        <f>#REF!*P7/#REF!</f>
        <v>#REF!</v>
      </c>
      <c r="Q42" s="43" t="e">
        <f>#REF!*Q7/#REF!</f>
        <v>#REF!</v>
      </c>
      <c r="R42" s="43" t="e">
        <f>#REF!*R7/#REF!</f>
        <v>#REF!</v>
      </c>
      <c r="S42" s="43" t="e">
        <f>#REF!*S7/#REF!</f>
        <v>#REF!</v>
      </c>
      <c r="T42" s="43" t="e">
        <f>#REF!*T7/#REF!</f>
        <v>#REF!</v>
      </c>
      <c r="U42" s="43" t="e">
        <f>#REF!*U7/#REF!</f>
        <v>#REF!</v>
      </c>
      <c r="V42" s="43" t="e">
        <f>#REF!*V7/#REF!</f>
        <v>#REF!</v>
      </c>
      <c r="W42" s="43" t="e">
        <f>#REF!*W7/#REF!</f>
        <v>#REF!</v>
      </c>
    </row>
    <row r="43" spans="1:30" x14ac:dyDescent="0.25">
      <c r="P43" s="43" t="e">
        <f>#REF!*P8/#REF!</f>
        <v>#REF!</v>
      </c>
      <c r="Q43" s="43" t="e">
        <f>#REF!*Q8/#REF!</f>
        <v>#REF!</v>
      </c>
      <c r="R43" s="43" t="e">
        <f>#REF!*R8/#REF!</f>
        <v>#REF!</v>
      </c>
      <c r="S43" s="43" t="e">
        <f>#REF!*S8/#REF!</f>
        <v>#REF!</v>
      </c>
      <c r="T43" s="43" t="e">
        <f>#REF!*T8/#REF!</f>
        <v>#REF!</v>
      </c>
      <c r="U43" s="43" t="e">
        <f>#REF!*U8/#REF!</f>
        <v>#REF!</v>
      </c>
      <c r="V43" s="43" t="e">
        <f>#REF!*V8/#REF!</f>
        <v>#REF!</v>
      </c>
      <c r="W43" s="43" t="e">
        <f>#REF!*W8/#REF!</f>
        <v>#REF!</v>
      </c>
    </row>
    <row r="44" spans="1:30" x14ac:dyDescent="0.25">
      <c r="P44" s="43" t="e">
        <f>#REF!*P9/#REF!</f>
        <v>#REF!</v>
      </c>
      <c r="Q44" s="43" t="e">
        <f>#REF!*Q9/#REF!</f>
        <v>#REF!</v>
      </c>
      <c r="R44" s="43" t="e">
        <f>#REF!*R9/#REF!</f>
        <v>#REF!</v>
      </c>
      <c r="S44" s="43" t="e">
        <f>#REF!*S9/#REF!</f>
        <v>#REF!</v>
      </c>
      <c r="T44" s="43" t="e">
        <f>#REF!*T9/#REF!</f>
        <v>#REF!</v>
      </c>
      <c r="U44" s="43" t="e">
        <f>#REF!*U9/#REF!</f>
        <v>#REF!</v>
      </c>
      <c r="V44" s="43" t="e">
        <f>#REF!*V9/#REF!</f>
        <v>#REF!</v>
      </c>
      <c r="W44" s="43" t="e">
        <f>#REF!*W9/#REF!</f>
        <v>#REF!</v>
      </c>
    </row>
    <row r="45" spans="1:30" x14ac:dyDescent="0.25">
      <c r="P45" s="43" t="e">
        <f>#REF!*P10/#REF!</f>
        <v>#REF!</v>
      </c>
      <c r="Q45" s="43" t="e">
        <f>#REF!*Q10/#REF!</f>
        <v>#REF!</v>
      </c>
      <c r="R45" s="43" t="e">
        <f>#REF!*R10/#REF!</f>
        <v>#REF!</v>
      </c>
      <c r="S45" s="43" t="e">
        <f>#REF!*S10/#REF!</f>
        <v>#REF!</v>
      </c>
      <c r="T45" s="43" t="e">
        <f>#REF!*T10/#REF!</f>
        <v>#REF!</v>
      </c>
      <c r="U45" s="43" t="e">
        <f>#REF!*U10/#REF!</f>
        <v>#REF!</v>
      </c>
      <c r="V45" s="43" t="e">
        <f>#REF!*V10/#REF!</f>
        <v>#REF!</v>
      </c>
      <c r="W45" s="43" t="e">
        <f>#REF!*W10/#REF!</f>
        <v>#REF!</v>
      </c>
    </row>
    <row r="46" spans="1:30" x14ac:dyDescent="0.25">
      <c r="P46" s="43" t="e">
        <f>#REF!*P11/#REF!</f>
        <v>#REF!</v>
      </c>
      <c r="Q46" s="43" t="e">
        <f>#REF!*Q11/#REF!</f>
        <v>#REF!</v>
      </c>
      <c r="R46" s="43" t="e">
        <f>#REF!*R11/#REF!</f>
        <v>#REF!</v>
      </c>
      <c r="S46" s="43" t="e">
        <f>#REF!*S11/#REF!</f>
        <v>#REF!</v>
      </c>
      <c r="T46" s="43" t="e">
        <f>#REF!*T11/#REF!</f>
        <v>#REF!</v>
      </c>
      <c r="U46" s="43" t="e">
        <f>#REF!*U11/#REF!</f>
        <v>#REF!</v>
      </c>
      <c r="V46" s="43" t="e">
        <f>#REF!*V11/#REF!</f>
        <v>#REF!</v>
      </c>
      <c r="W46" s="43" t="e">
        <f>#REF!*W11/#REF!</f>
        <v>#REF!</v>
      </c>
    </row>
    <row r="47" spans="1:30" x14ac:dyDescent="0.25">
      <c r="P47" s="43" t="e">
        <f>#REF!*P12/#REF!</f>
        <v>#REF!</v>
      </c>
      <c r="Q47" s="43" t="e">
        <f>#REF!*Q12/#REF!</f>
        <v>#REF!</v>
      </c>
      <c r="R47" s="43" t="e">
        <f>#REF!*R12/#REF!</f>
        <v>#REF!</v>
      </c>
      <c r="S47" s="43" t="e">
        <f>#REF!*S12/#REF!</f>
        <v>#REF!</v>
      </c>
      <c r="T47" s="43" t="e">
        <f>#REF!*T12/#REF!</f>
        <v>#REF!</v>
      </c>
      <c r="U47" s="43" t="e">
        <f>#REF!*U12/#REF!</f>
        <v>#REF!</v>
      </c>
      <c r="V47" s="43" t="e">
        <f>#REF!*V12/#REF!</f>
        <v>#REF!</v>
      </c>
      <c r="W47" s="43" t="e">
        <f>#REF!*W12/#REF!</f>
        <v>#REF!</v>
      </c>
    </row>
    <row r="48" spans="1:30" x14ac:dyDescent="0.25">
      <c r="P48" s="43" t="e">
        <f>#REF!*P13/#REF!</f>
        <v>#REF!</v>
      </c>
      <c r="Q48" s="43" t="e">
        <f>#REF!*Q13/#REF!</f>
        <v>#REF!</v>
      </c>
      <c r="R48" s="43" t="e">
        <f>#REF!*R13/#REF!</f>
        <v>#REF!</v>
      </c>
      <c r="S48" s="43" t="e">
        <f>#REF!*S13/#REF!</f>
        <v>#REF!</v>
      </c>
      <c r="T48" s="43" t="e">
        <f>#REF!*T13/#REF!</f>
        <v>#REF!</v>
      </c>
      <c r="U48" s="43" t="e">
        <f>#REF!*U13/#REF!</f>
        <v>#REF!</v>
      </c>
      <c r="V48" s="43" t="e">
        <f>#REF!*V13/#REF!</f>
        <v>#REF!</v>
      </c>
      <c r="W48" s="43" t="e">
        <f>#REF!*W13/#REF!</f>
        <v>#REF!</v>
      </c>
    </row>
    <row r="49" spans="16:23" x14ac:dyDescent="0.25">
      <c r="P49" s="43" t="e">
        <f>#REF!*P14/#REF!</f>
        <v>#REF!</v>
      </c>
      <c r="Q49" s="43" t="e">
        <f>#REF!*Q14/#REF!</f>
        <v>#REF!</v>
      </c>
      <c r="R49" s="43" t="e">
        <f>#REF!*R14/#REF!</f>
        <v>#REF!</v>
      </c>
      <c r="S49" s="43" t="e">
        <f>#REF!*S14/#REF!</f>
        <v>#REF!</v>
      </c>
      <c r="T49" s="43" t="e">
        <f>#REF!*T14/#REF!</f>
        <v>#REF!</v>
      </c>
      <c r="U49" s="43" t="e">
        <f>#REF!*U14/#REF!</f>
        <v>#REF!</v>
      </c>
      <c r="V49" s="43" t="e">
        <f>#REF!*V14/#REF!</f>
        <v>#REF!</v>
      </c>
      <c r="W49" s="43" t="e">
        <f>#REF!*W14/#REF!</f>
        <v>#REF!</v>
      </c>
    </row>
    <row r="50" spans="16:23" x14ac:dyDescent="0.25">
      <c r="P50" s="43" t="e">
        <f>#REF!*P15/#REF!</f>
        <v>#REF!</v>
      </c>
      <c r="Q50" s="43" t="e">
        <f>#REF!*Q15/#REF!</f>
        <v>#REF!</v>
      </c>
      <c r="R50" s="43" t="e">
        <f>#REF!*R15/#REF!</f>
        <v>#REF!</v>
      </c>
      <c r="S50" s="43" t="e">
        <f>#REF!*S15/#REF!</f>
        <v>#REF!</v>
      </c>
      <c r="T50" s="43" t="e">
        <f>#REF!*T15/#REF!</f>
        <v>#REF!</v>
      </c>
      <c r="U50" s="43" t="e">
        <f>#REF!*U15/#REF!</f>
        <v>#REF!</v>
      </c>
      <c r="V50" s="43" t="e">
        <f>#REF!*V15/#REF!</f>
        <v>#REF!</v>
      </c>
      <c r="W50" s="43" t="e">
        <f>#REF!*W15/#REF!</f>
        <v>#REF!</v>
      </c>
    </row>
    <row r="51" spans="16:23" x14ac:dyDescent="0.25">
      <c r="P51" s="43" t="e">
        <f>#REF!*P16/#REF!</f>
        <v>#REF!</v>
      </c>
      <c r="Q51" s="43" t="e">
        <f>#REF!*Q16/#REF!</f>
        <v>#REF!</v>
      </c>
      <c r="R51" s="43" t="e">
        <f>#REF!*R16/#REF!</f>
        <v>#REF!</v>
      </c>
      <c r="S51" s="43" t="e">
        <f>#REF!*S16/#REF!</f>
        <v>#REF!</v>
      </c>
      <c r="T51" s="43" t="e">
        <f>#REF!*T16/#REF!</f>
        <v>#REF!</v>
      </c>
      <c r="U51" s="43" t="e">
        <f>#REF!*U16/#REF!</f>
        <v>#REF!</v>
      </c>
      <c r="V51" s="43" t="e">
        <f>#REF!*V16/#REF!</f>
        <v>#REF!</v>
      </c>
      <c r="W51" s="43" t="e">
        <f>#REF!*W16/#REF!</f>
        <v>#REF!</v>
      </c>
    </row>
    <row r="52" spans="16:23" x14ac:dyDescent="0.25">
      <c r="P52" s="43" t="e">
        <f>#REF!*P17/#REF!</f>
        <v>#REF!</v>
      </c>
      <c r="Q52" s="43" t="e">
        <f>#REF!*Q17/#REF!</f>
        <v>#REF!</v>
      </c>
      <c r="R52" s="43" t="e">
        <f>#REF!*R17/#REF!</f>
        <v>#REF!</v>
      </c>
      <c r="S52" s="43" t="e">
        <f>#REF!*S17/#REF!</f>
        <v>#REF!</v>
      </c>
      <c r="T52" s="43" t="e">
        <f>#REF!*T17/#REF!</f>
        <v>#REF!</v>
      </c>
      <c r="U52" s="43" t="e">
        <f>#REF!*U17/#REF!</f>
        <v>#REF!</v>
      </c>
      <c r="V52" s="43" t="e">
        <f>#REF!*V17/#REF!</f>
        <v>#REF!</v>
      </c>
      <c r="W52" s="43" t="e">
        <f>#REF!*W17/#REF!</f>
        <v>#REF!</v>
      </c>
    </row>
    <row r="53" spans="16:23" x14ac:dyDescent="0.25">
      <c r="P53" s="43" t="e">
        <f>#REF!*P18/#REF!</f>
        <v>#REF!</v>
      </c>
      <c r="Q53" s="43" t="e">
        <f>#REF!*Q18/#REF!</f>
        <v>#REF!</v>
      </c>
      <c r="R53" s="43" t="e">
        <f>#REF!*R18/#REF!</f>
        <v>#REF!</v>
      </c>
      <c r="S53" s="43" t="e">
        <f>#REF!*S18/#REF!</f>
        <v>#REF!</v>
      </c>
      <c r="T53" s="43" t="e">
        <f>#REF!*T18/#REF!</f>
        <v>#REF!</v>
      </c>
      <c r="U53" s="43" t="e">
        <f>#REF!*U18/#REF!</f>
        <v>#REF!</v>
      </c>
      <c r="V53" s="43" t="e">
        <f>#REF!*V18/#REF!</f>
        <v>#REF!</v>
      </c>
      <c r="W53" s="43" t="e">
        <f>#REF!*W18/#REF!</f>
        <v>#REF!</v>
      </c>
    </row>
    <row r="54" spans="16:23" x14ac:dyDescent="0.25">
      <c r="P54" s="43" t="e">
        <f>#REF!*P19/#REF!</f>
        <v>#REF!</v>
      </c>
      <c r="Q54" s="43" t="e">
        <f>#REF!*Q19/#REF!</f>
        <v>#REF!</v>
      </c>
      <c r="R54" s="43" t="e">
        <f>#REF!*R19/#REF!</f>
        <v>#REF!</v>
      </c>
      <c r="S54" s="43" t="e">
        <f>#REF!*S19/#REF!</f>
        <v>#REF!</v>
      </c>
      <c r="T54" s="43" t="e">
        <f>#REF!*T19/#REF!</f>
        <v>#REF!</v>
      </c>
      <c r="U54" s="43" t="e">
        <f>#REF!*U19/#REF!</f>
        <v>#REF!</v>
      </c>
      <c r="V54" s="43" t="e">
        <f>#REF!*V19/#REF!</f>
        <v>#REF!</v>
      </c>
      <c r="W54" s="43" t="e">
        <f>#REF!*W19/#REF!</f>
        <v>#REF!</v>
      </c>
    </row>
    <row r="55" spans="16:23" x14ac:dyDescent="0.25">
      <c r="P55" s="43" t="e">
        <f>#REF!*P20/#REF!</f>
        <v>#REF!</v>
      </c>
      <c r="Q55" s="43" t="e">
        <f>#REF!*Q20/#REF!</f>
        <v>#REF!</v>
      </c>
      <c r="R55" s="43" t="e">
        <f>#REF!*R20/#REF!</f>
        <v>#REF!</v>
      </c>
      <c r="S55" s="43" t="e">
        <f>#REF!*S20/#REF!</f>
        <v>#REF!</v>
      </c>
      <c r="T55" s="43" t="e">
        <f>#REF!*T20/#REF!</f>
        <v>#REF!</v>
      </c>
      <c r="U55" s="43" t="e">
        <f>#REF!*U20/#REF!</f>
        <v>#REF!</v>
      </c>
      <c r="V55" s="43" t="e">
        <f>#REF!*V20/#REF!</f>
        <v>#REF!</v>
      </c>
      <c r="W55" s="43" t="e">
        <f>#REF!*W20/#REF!</f>
        <v>#REF!</v>
      </c>
    </row>
    <row r="56" spans="16:23" x14ac:dyDescent="0.25">
      <c r="P56" s="43" t="e">
        <f>#REF!*P21/#REF!</f>
        <v>#REF!</v>
      </c>
      <c r="Q56" s="43" t="e">
        <f>#REF!*Q21/#REF!</f>
        <v>#REF!</v>
      </c>
      <c r="R56" s="43" t="e">
        <f>#REF!*R21/#REF!</f>
        <v>#REF!</v>
      </c>
      <c r="S56" s="43" t="e">
        <f>#REF!*S21/#REF!</f>
        <v>#REF!</v>
      </c>
      <c r="T56" s="43" t="e">
        <f>#REF!*T21/#REF!</f>
        <v>#REF!</v>
      </c>
      <c r="U56" s="43" t="e">
        <f>#REF!*U21/#REF!</f>
        <v>#REF!</v>
      </c>
      <c r="V56" s="43" t="e">
        <f>#REF!*V21/#REF!</f>
        <v>#REF!</v>
      </c>
      <c r="W56" s="43" t="e">
        <f>#REF!*W21/#REF!</f>
        <v>#REF!</v>
      </c>
    </row>
    <row r="57" spans="16:23" x14ac:dyDescent="0.25">
      <c r="P57" s="43" t="e">
        <f>#REF!*P22/#REF!</f>
        <v>#REF!</v>
      </c>
      <c r="Q57" s="43" t="e">
        <f>#REF!*Q22/#REF!</f>
        <v>#REF!</v>
      </c>
      <c r="R57" s="43" t="e">
        <f>#REF!*R22/#REF!</f>
        <v>#REF!</v>
      </c>
      <c r="S57" s="43" t="e">
        <f>#REF!*S22/#REF!</f>
        <v>#REF!</v>
      </c>
      <c r="T57" s="43" t="e">
        <f>#REF!*T22/#REF!</f>
        <v>#REF!</v>
      </c>
      <c r="U57" s="43" t="e">
        <f>#REF!*U22/#REF!</f>
        <v>#REF!</v>
      </c>
      <c r="V57" s="43" t="e">
        <f>#REF!*V22/#REF!</f>
        <v>#REF!</v>
      </c>
      <c r="W57" s="43" t="e">
        <f>#REF!*W22/#REF!</f>
        <v>#REF!</v>
      </c>
    </row>
    <row r="58" spans="16:23" x14ac:dyDescent="0.25">
      <c r="P58" s="43" t="e">
        <f>#REF!*P23/#REF!</f>
        <v>#REF!</v>
      </c>
      <c r="Q58" s="43" t="e">
        <f>#REF!*Q23/#REF!</f>
        <v>#REF!</v>
      </c>
      <c r="R58" s="43" t="e">
        <f>#REF!*R23/#REF!</f>
        <v>#REF!</v>
      </c>
      <c r="S58" s="43" t="e">
        <f>#REF!*S23/#REF!</f>
        <v>#REF!</v>
      </c>
      <c r="T58" s="43" t="e">
        <f>#REF!*T23/#REF!</f>
        <v>#REF!</v>
      </c>
      <c r="U58" s="43" t="e">
        <f>#REF!*U23/#REF!</f>
        <v>#REF!</v>
      </c>
      <c r="V58" s="43" t="e">
        <f>#REF!*V23/#REF!</f>
        <v>#REF!</v>
      </c>
      <c r="W58" s="43" t="e">
        <f>#REF!*W23/#REF!</f>
        <v>#REF!</v>
      </c>
    </row>
    <row r="59" spans="16:23" x14ac:dyDescent="0.25">
      <c r="P59" s="43" t="e">
        <f>#REF!*P24/#REF!</f>
        <v>#REF!</v>
      </c>
      <c r="Q59" s="43" t="e">
        <f>#REF!*Q24/#REF!</f>
        <v>#REF!</v>
      </c>
      <c r="R59" s="43" t="e">
        <f>#REF!*R24/#REF!</f>
        <v>#REF!</v>
      </c>
      <c r="S59" s="43" t="e">
        <f>#REF!*S24/#REF!</f>
        <v>#REF!</v>
      </c>
      <c r="T59" s="43" t="e">
        <f>#REF!*T24/#REF!</f>
        <v>#REF!</v>
      </c>
      <c r="U59" s="43" t="e">
        <f>#REF!*U24/#REF!</f>
        <v>#REF!</v>
      </c>
      <c r="V59" s="43" t="e">
        <f>#REF!*V24/#REF!</f>
        <v>#REF!</v>
      </c>
      <c r="W59" s="43" t="e">
        <f>#REF!*W24/#REF!</f>
        <v>#REF!</v>
      </c>
    </row>
    <row r="60" spans="16:23" x14ac:dyDescent="0.25">
      <c r="P60" s="43" t="e">
        <f>#REF!*P25/#REF!</f>
        <v>#REF!</v>
      </c>
      <c r="Q60" s="43" t="e">
        <f>#REF!*Q25/#REF!</f>
        <v>#REF!</v>
      </c>
      <c r="R60" s="43" t="e">
        <f>#REF!*R25/#REF!</f>
        <v>#REF!</v>
      </c>
      <c r="S60" s="43" t="e">
        <f>#REF!*S25/#REF!</f>
        <v>#REF!</v>
      </c>
      <c r="T60" s="43" t="e">
        <f>#REF!*T25/#REF!</f>
        <v>#REF!</v>
      </c>
      <c r="U60" s="43" t="e">
        <f>#REF!*U25/#REF!</f>
        <v>#REF!</v>
      </c>
      <c r="V60" s="43" t="e">
        <f>#REF!*V25/#REF!</f>
        <v>#REF!</v>
      </c>
      <c r="W60" s="43" t="e">
        <f>#REF!*W25/#REF!</f>
        <v>#REF!</v>
      </c>
    </row>
    <row r="61" spans="16:23" x14ac:dyDescent="0.25">
      <c r="P61" s="43" t="e">
        <f>#REF!*P26/#REF!</f>
        <v>#REF!</v>
      </c>
      <c r="Q61" s="43" t="e">
        <f>#REF!*Q26/#REF!</f>
        <v>#REF!</v>
      </c>
      <c r="R61" s="43" t="e">
        <f>#REF!*R26/#REF!</f>
        <v>#REF!</v>
      </c>
      <c r="S61" s="43" t="e">
        <f>#REF!*S26/#REF!</f>
        <v>#REF!</v>
      </c>
      <c r="T61" s="43" t="e">
        <f>#REF!*T26/#REF!</f>
        <v>#REF!</v>
      </c>
      <c r="U61" s="43" t="e">
        <f>#REF!*U26/#REF!</f>
        <v>#REF!</v>
      </c>
      <c r="V61" s="43" t="e">
        <f>#REF!*V26/#REF!</f>
        <v>#REF!</v>
      </c>
      <c r="W61" s="43" t="e">
        <f>#REF!*W26/#REF!</f>
        <v>#REF!</v>
      </c>
    </row>
    <row r="62" spans="16:23" x14ac:dyDescent="0.25">
      <c r="P62" s="43" t="e">
        <f>#REF!*P27/#REF!</f>
        <v>#REF!</v>
      </c>
      <c r="Q62" s="43" t="e">
        <f>#REF!*Q27/#REF!</f>
        <v>#REF!</v>
      </c>
      <c r="R62" s="43" t="e">
        <f>#REF!*R27/#REF!</f>
        <v>#REF!</v>
      </c>
      <c r="S62" s="43" t="e">
        <f>#REF!*S27/#REF!</f>
        <v>#REF!</v>
      </c>
      <c r="T62" s="43" t="e">
        <f>#REF!*T27/#REF!</f>
        <v>#REF!</v>
      </c>
      <c r="U62" s="43" t="e">
        <f>#REF!*U27/#REF!</f>
        <v>#REF!</v>
      </c>
      <c r="V62" s="43" t="e">
        <f>#REF!*V27/#REF!</f>
        <v>#REF!</v>
      </c>
      <c r="W62" s="43" t="e">
        <f>#REF!*W27/#REF!</f>
        <v>#REF!</v>
      </c>
    </row>
    <row r="63" spans="16:23" x14ac:dyDescent="0.25">
      <c r="P63" s="43" t="e">
        <f>#REF!*P28/#REF!</f>
        <v>#REF!</v>
      </c>
      <c r="Q63" s="43" t="e">
        <f>#REF!*Q28/#REF!</f>
        <v>#REF!</v>
      </c>
      <c r="R63" s="43" t="e">
        <f>#REF!*R28/#REF!</f>
        <v>#REF!</v>
      </c>
      <c r="S63" s="43" t="e">
        <f>#REF!*S28/#REF!</f>
        <v>#REF!</v>
      </c>
      <c r="T63" s="43" t="e">
        <f>#REF!*T28/#REF!</f>
        <v>#REF!</v>
      </c>
      <c r="U63" s="43" t="e">
        <f>#REF!*U28/#REF!</f>
        <v>#REF!</v>
      </c>
      <c r="V63" s="43" t="e">
        <f>#REF!*V28/#REF!</f>
        <v>#REF!</v>
      </c>
      <c r="W63" s="43" t="e">
        <f>#REF!*W28/#REF!</f>
        <v>#REF!</v>
      </c>
    </row>
    <row r="64" spans="16:23" x14ac:dyDescent="0.25">
      <c r="P64" s="43" t="e">
        <f>#REF!*P29/#REF!</f>
        <v>#REF!</v>
      </c>
      <c r="Q64" s="43" t="e">
        <f>#REF!*Q29/#REF!</f>
        <v>#REF!</v>
      </c>
      <c r="R64" s="43" t="e">
        <f>#REF!*R29/#REF!</f>
        <v>#REF!</v>
      </c>
      <c r="S64" s="43" t="e">
        <f>#REF!*S29/#REF!</f>
        <v>#REF!</v>
      </c>
      <c r="T64" s="43" t="e">
        <f>#REF!*T29/#REF!</f>
        <v>#REF!</v>
      </c>
      <c r="U64" s="43" t="e">
        <f>#REF!*U29/#REF!</f>
        <v>#REF!</v>
      </c>
      <c r="V64" s="43" t="e">
        <f>#REF!*V29/#REF!</f>
        <v>#REF!</v>
      </c>
      <c r="W64" s="43" t="e">
        <f>#REF!*W29/#REF!</f>
        <v>#REF!</v>
      </c>
    </row>
    <row r="65" spans="16:23" x14ac:dyDescent="0.25">
      <c r="P65" s="43" t="e">
        <f>#REF!*P30/#REF!</f>
        <v>#REF!</v>
      </c>
      <c r="Q65" s="43" t="e">
        <f>#REF!*Q30/#REF!</f>
        <v>#REF!</v>
      </c>
      <c r="R65" s="43" t="e">
        <f>#REF!*R30/#REF!</f>
        <v>#REF!</v>
      </c>
      <c r="S65" s="43" t="e">
        <f>#REF!*S30/#REF!</f>
        <v>#REF!</v>
      </c>
      <c r="T65" s="43" t="e">
        <f>#REF!*T30/#REF!</f>
        <v>#REF!</v>
      </c>
      <c r="U65" s="43" t="e">
        <f>#REF!*U30/#REF!</f>
        <v>#REF!</v>
      </c>
      <c r="V65" s="43" t="e">
        <f>#REF!*V30/#REF!</f>
        <v>#REF!</v>
      </c>
      <c r="W65" s="43" t="e">
        <f>#REF!*W30/#REF!</f>
        <v>#REF!</v>
      </c>
    </row>
    <row r="66" spans="16:23" x14ac:dyDescent="0.25">
      <c r="P66" s="43" t="e">
        <f>#REF!*P31/#REF!</f>
        <v>#REF!</v>
      </c>
      <c r="Q66" s="43" t="e">
        <f>#REF!*Q31/#REF!</f>
        <v>#REF!</v>
      </c>
      <c r="R66" s="43" t="e">
        <f>#REF!*R31/#REF!</f>
        <v>#REF!</v>
      </c>
      <c r="S66" s="43" t="e">
        <f>#REF!*S31/#REF!</f>
        <v>#REF!</v>
      </c>
      <c r="T66" s="43" t="e">
        <f>#REF!*T31/#REF!</f>
        <v>#REF!</v>
      </c>
      <c r="U66" s="43" t="e">
        <f>#REF!*U31/#REF!</f>
        <v>#REF!</v>
      </c>
      <c r="V66" s="43" t="e">
        <f>#REF!*V31/#REF!</f>
        <v>#REF!</v>
      </c>
      <c r="W66" s="43" t="e">
        <f>#REF!*W31/#REF!</f>
        <v>#REF!</v>
      </c>
    </row>
  </sheetData>
  <mergeCells count="6">
    <mergeCell ref="P2:S2"/>
    <mergeCell ref="T2:W2"/>
    <mergeCell ref="E2:H2"/>
    <mergeCell ref="I2:L2"/>
    <mergeCell ref="E1:L1"/>
    <mergeCell ref="P1:W1"/>
  </mergeCells>
  <pageMargins left="0.25" right="0.25" top="0.75" bottom="0.75" header="0.3" footer="0.3"/>
  <pageSetup paperSize="8" scale="75" orientation="landscape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</sheetPr>
  <dimension ref="A1:AI41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I34" sqref="I34"/>
    </sheetView>
  </sheetViews>
  <sheetFormatPr defaultColWidth="9.140625" defaultRowHeight="11.25" x14ac:dyDescent="0.2"/>
  <cols>
    <col min="1" max="1" width="4.5703125" style="4" customWidth="1"/>
    <col min="2" max="2" width="11.85546875" style="2" customWidth="1"/>
    <col min="3" max="4" width="12.5703125" style="2" customWidth="1"/>
    <col min="5" max="5" width="11.85546875" style="2" customWidth="1"/>
    <col min="6" max="6" width="4.42578125" style="4" customWidth="1"/>
    <col min="7" max="9" width="20.140625" style="2" customWidth="1"/>
    <col min="10" max="11" width="17.42578125" style="2" customWidth="1"/>
    <col min="12" max="12" width="4.42578125" style="4" customWidth="1"/>
    <col min="13" max="13" width="15" style="2" customWidth="1"/>
    <col min="14" max="15" width="25.140625" style="2" customWidth="1"/>
    <col min="16" max="16" width="4.42578125" style="4" customWidth="1"/>
    <col min="17" max="17" width="8.42578125" style="2" customWidth="1"/>
    <col min="18" max="18" width="12.7109375" style="2" customWidth="1"/>
    <col min="19" max="19" width="4.42578125" style="4" customWidth="1"/>
    <col min="20" max="27" width="10.42578125" style="2" customWidth="1"/>
    <col min="28" max="28" width="9.140625" style="2"/>
    <col min="29" max="29" width="13.85546875" style="2" customWidth="1"/>
    <col min="30" max="30" width="15.28515625" style="2" customWidth="1"/>
    <col min="31" max="31" width="15.140625" style="2" customWidth="1"/>
    <col min="32" max="32" width="9.140625" style="2"/>
    <col min="33" max="33" width="18.7109375" style="2" customWidth="1"/>
    <col min="34" max="34" width="17.140625" style="2" customWidth="1"/>
    <col min="35" max="35" width="12.7109375" style="2" customWidth="1"/>
    <col min="36" max="16384" width="9.140625" style="2"/>
  </cols>
  <sheetData>
    <row r="1" spans="1:35" ht="45" customHeight="1" x14ac:dyDescent="0.2">
      <c r="A1" s="3"/>
      <c r="B1" s="5" t="s">
        <v>42</v>
      </c>
      <c r="C1" s="5" t="s">
        <v>33</v>
      </c>
      <c r="D1" s="5" t="s">
        <v>36</v>
      </c>
      <c r="E1" s="5" t="s">
        <v>34</v>
      </c>
      <c r="F1" s="3"/>
      <c r="G1" s="5" t="s">
        <v>76</v>
      </c>
      <c r="H1" s="5" t="s">
        <v>77</v>
      </c>
      <c r="I1" s="5" t="s">
        <v>157</v>
      </c>
      <c r="J1" s="5" t="s">
        <v>35</v>
      </c>
      <c r="K1" s="5" t="s">
        <v>158</v>
      </c>
      <c r="L1" s="3"/>
      <c r="M1" s="5" t="s">
        <v>81</v>
      </c>
      <c r="N1" s="5" t="s">
        <v>91</v>
      </c>
      <c r="O1" s="5" t="s">
        <v>41</v>
      </c>
      <c r="P1" s="3"/>
      <c r="Q1" s="5" t="s">
        <v>102</v>
      </c>
      <c r="R1" s="5" t="s">
        <v>44</v>
      </c>
      <c r="S1" s="3"/>
      <c r="T1" s="198" t="s">
        <v>98</v>
      </c>
      <c r="U1" s="198"/>
      <c r="V1" s="198" t="s">
        <v>99</v>
      </c>
      <c r="W1" s="198"/>
      <c r="X1" s="198" t="s">
        <v>100</v>
      </c>
      <c r="Y1" s="198"/>
      <c r="Z1" s="198" t="s">
        <v>104</v>
      </c>
      <c r="AA1" s="198"/>
      <c r="AC1" s="5" t="s">
        <v>38</v>
      </c>
      <c r="AD1" s="5" t="s">
        <v>39</v>
      </c>
      <c r="AE1" s="5" t="s">
        <v>40</v>
      </c>
      <c r="AG1" s="5" t="s">
        <v>43</v>
      </c>
      <c r="AH1" s="5" t="s">
        <v>80</v>
      </c>
      <c r="AI1" s="5" t="s">
        <v>85</v>
      </c>
    </row>
    <row r="2" spans="1:35" x14ac:dyDescent="0.2">
      <c r="A2" s="3"/>
      <c r="B2" s="6"/>
      <c r="C2" s="6"/>
      <c r="D2" s="6"/>
      <c r="E2" s="6"/>
      <c r="F2" s="3"/>
      <c r="G2" s="6"/>
      <c r="H2" s="6"/>
      <c r="I2" s="6"/>
      <c r="J2" s="6"/>
      <c r="K2" s="6"/>
      <c r="L2" s="3"/>
      <c r="M2" s="6"/>
      <c r="N2" s="6"/>
      <c r="O2" s="6"/>
      <c r="P2" s="3"/>
      <c r="Q2" s="6"/>
      <c r="R2" s="7"/>
      <c r="S2" s="3"/>
      <c r="T2" s="33" t="s">
        <v>159</v>
      </c>
      <c r="U2" s="33" t="s">
        <v>160</v>
      </c>
      <c r="V2" s="33" t="s">
        <v>159</v>
      </c>
      <c r="W2" s="33" t="s">
        <v>160</v>
      </c>
      <c r="X2" s="33" t="s">
        <v>159</v>
      </c>
      <c r="Y2" s="33" t="s">
        <v>160</v>
      </c>
      <c r="Z2" s="33" t="s">
        <v>159</v>
      </c>
      <c r="AA2" s="33" t="s">
        <v>160</v>
      </c>
      <c r="AC2" s="5"/>
      <c r="AD2" s="5"/>
      <c r="AE2" s="5"/>
      <c r="AG2" s="5"/>
      <c r="AH2" s="5"/>
      <c r="AI2" s="5"/>
    </row>
    <row r="3" spans="1:35" x14ac:dyDescent="0.2">
      <c r="A3" s="3" t="s">
        <v>72</v>
      </c>
      <c r="B3" s="6">
        <f>+SUM(B4:B30)</f>
        <v>5725587.294999999</v>
      </c>
      <c r="C3" s="6">
        <f>+SUM(C4:C30)</f>
        <v>11655105.276999997</v>
      </c>
      <c r="D3" s="6">
        <f>+SUM(D4:D30)</f>
        <v>11553139.933499997</v>
      </c>
      <c r="E3" s="6">
        <f>+SUM(E4:E30)</f>
        <v>13308076</v>
      </c>
      <c r="F3" s="3" t="s">
        <v>72</v>
      </c>
      <c r="G3" s="6">
        <f>+SUM(G4:G30)</f>
        <v>411463.30228240433</v>
      </c>
      <c r="H3" s="6">
        <f>+SUM(H4:H30)</f>
        <v>152958.50795019604</v>
      </c>
      <c r="I3" s="6">
        <f>+SUM(G3:H3)</f>
        <v>564421.81023260043</v>
      </c>
      <c r="J3" s="6">
        <f>+SUM(J4:J30)</f>
        <v>4415800</v>
      </c>
      <c r="K3" s="6">
        <f>+E3-J3</f>
        <v>8892276</v>
      </c>
      <c r="L3" s="3" t="s">
        <v>72</v>
      </c>
      <c r="M3" s="6">
        <f>+SUM(M4:M30)</f>
        <v>4618165.0868076338</v>
      </c>
      <c r="N3" s="6"/>
      <c r="O3" s="6">
        <f>+SUM(O4:O30)</f>
        <v>4420966</v>
      </c>
      <c r="P3" s="3" t="s">
        <v>72</v>
      </c>
      <c r="Q3" s="6"/>
      <c r="R3" s="7"/>
      <c r="S3" s="3" t="s">
        <v>72</v>
      </c>
      <c r="T3" s="6">
        <f t="shared" ref="T3:AA3" si="0">+SUM(T4:T30)</f>
        <v>114044.18778946903</v>
      </c>
      <c r="U3" s="6">
        <f t="shared" si="0"/>
        <v>354035.26053434977</v>
      </c>
      <c r="V3" s="6">
        <f t="shared" si="0"/>
        <v>31046.919236217596</v>
      </c>
      <c r="W3" s="6">
        <f t="shared" si="0"/>
        <v>96308.390557235834</v>
      </c>
      <c r="X3" s="6">
        <f t="shared" si="0"/>
        <v>2615353.92</v>
      </c>
      <c r="Y3" s="6">
        <f t="shared" si="0"/>
        <v>6542396</v>
      </c>
      <c r="Z3" s="6">
        <f t="shared" si="0"/>
        <v>3628747.38</v>
      </c>
      <c r="AA3" s="6">
        <f t="shared" si="0"/>
        <v>8887110</v>
      </c>
      <c r="AC3" s="5"/>
      <c r="AD3" s="5"/>
      <c r="AE3" s="5"/>
      <c r="AG3" s="5"/>
      <c r="AH3" s="5"/>
      <c r="AI3" s="5"/>
    </row>
    <row r="4" spans="1:35" x14ac:dyDescent="0.2">
      <c r="A4" s="3" t="s">
        <v>0</v>
      </c>
      <c r="B4" s="6">
        <v>124046.9295</v>
      </c>
      <c r="C4" s="6">
        <v>251274.54950000002</v>
      </c>
      <c r="D4" s="6">
        <v>249684.20425000001</v>
      </c>
      <c r="E4" s="6">
        <f>+'Firms Agri Trade Restaurants'!S5</f>
        <v>175200</v>
      </c>
      <c r="F4" s="3" t="s">
        <v>0</v>
      </c>
      <c r="G4" s="6">
        <f>+'Data by size class'!AI4</f>
        <v>10212.435173812932</v>
      </c>
      <c r="H4" s="6">
        <f>+'Data by size class'!AJ4</f>
        <v>4031.3891634331867</v>
      </c>
      <c r="I4" s="6">
        <f t="shared" ref="I4:I30" si="1">+SUM(G4:H4)</f>
        <v>14243.824337246118</v>
      </c>
      <c r="J4" s="6">
        <v>73500</v>
      </c>
      <c r="K4" s="6">
        <f t="shared" ref="K4:K30" si="2">+E4-J4</f>
        <v>101700</v>
      </c>
      <c r="L4" s="3" t="s">
        <v>0</v>
      </c>
      <c r="M4" s="6">
        <v>91299.999999999985</v>
      </c>
      <c r="N4" s="6" t="s">
        <v>92</v>
      </c>
      <c r="O4" s="6">
        <v>5346</v>
      </c>
      <c r="P4" s="3" t="s">
        <v>0</v>
      </c>
      <c r="Q4" s="6"/>
      <c r="R4" s="7">
        <v>0.71</v>
      </c>
      <c r="S4" s="3" t="s">
        <v>0</v>
      </c>
      <c r="T4" s="6">
        <f>+SUM(G4:H4)*(1-R4)</f>
        <v>4130.7090578013749</v>
      </c>
      <c r="U4" s="6">
        <f>+SUM(G4:H4)</f>
        <v>14243.824337246118</v>
      </c>
      <c r="V4" s="6">
        <f>+H4*(1-R4)</f>
        <v>1169.1028573956244</v>
      </c>
      <c r="W4" s="6">
        <f>+H4</f>
        <v>4031.3891634331867</v>
      </c>
      <c r="X4" s="6">
        <f>+(E4-J4)*(1-R4)</f>
        <v>29493.000000000004</v>
      </c>
      <c r="Y4" s="6">
        <f t="shared" ref="Y4:Y18" si="3">+(E4-J4)</f>
        <v>101700</v>
      </c>
      <c r="Z4" s="6">
        <f>+(E4-O4)*(1-R4)</f>
        <v>49257.66</v>
      </c>
      <c r="AA4" s="6">
        <f>+(E4-O4)</f>
        <v>169854</v>
      </c>
      <c r="AC4" s="7">
        <v>0.2</v>
      </c>
      <c r="AG4" s="7">
        <v>0.17</v>
      </c>
      <c r="AH4" s="15">
        <f>+J4/E4</f>
        <v>0.41952054794520549</v>
      </c>
      <c r="AI4" s="15">
        <f>+M4/E4</f>
        <v>0.5211187214611871</v>
      </c>
    </row>
    <row r="5" spans="1:35" x14ac:dyDescent="0.2">
      <c r="A5" s="3" t="s">
        <v>1</v>
      </c>
      <c r="B5" s="6">
        <v>218463.905</v>
      </c>
      <c r="C5" s="6">
        <v>369402.60300000006</v>
      </c>
      <c r="D5" s="6">
        <v>403165.20650000003</v>
      </c>
      <c r="E5" s="6">
        <f>+'Firms Agri Trade Restaurants'!S6</f>
        <v>366200</v>
      </c>
      <c r="F5" s="3" t="s">
        <v>1</v>
      </c>
      <c r="G5" s="6">
        <f>+'Data by size class'!AI5</f>
        <v>7051.6212391057488</v>
      </c>
      <c r="H5" s="6">
        <f>+'Data by size class'!AJ5</f>
        <v>2959.8178406869679</v>
      </c>
      <c r="I5" s="6">
        <f t="shared" si="1"/>
        <v>10011.439079792717</v>
      </c>
      <c r="J5" s="6">
        <v>173300</v>
      </c>
      <c r="K5" s="6">
        <f t="shared" si="2"/>
        <v>192900</v>
      </c>
      <c r="L5" s="3" t="s">
        <v>1</v>
      </c>
      <c r="M5" s="6">
        <v>82899.999999999985</v>
      </c>
      <c r="N5" s="6"/>
      <c r="O5" s="6">
        <v>0</v>
      </c>
      <c r="P5" s="3" t="s">
        <v>1</v>
      </c>
      <c r="Q5" s="17" t="s">
        <v>19</v>
      </c>
      <c r="R5" s="8">
        <f>+R24</f>
        <v>0.47</v>
      </c>
      <c r="S5" s="3" t="s">
        <v>1</v>
      </c>
      <c r="T5" s="6">
        <f>+SUM(G5:H5)*(1-R5)</f>
        <v>5306.0627122901406</v>
      </c>
      <c r="U5" s="6">
        <f>+SUM(G5:H5)</f>
        <v>10011.439079792717</v>
      </c>
      <c r="V5" s="6">
        <f>+H5*(1-R5)</f>
        <v>1568.703455564093</v>
      </c>
      <c r="W5" s="6">
        <f>+H5</f>
        <v>2959.8178406869679</v>
      </c>
      <c r="X5" s="6">
        <f t="shared" ref="X5:X30" si="4">+(E5-J5)*(1-R5)</f>
        <v>102237</v>
      </c>
      <c r="Y5" s="6">
        <f t="shared" si="3"/>
        <v>192900</v>
      </c>
      <c r="Z5" s="6">
        <f t="shared" ref="Z5:Z30" si="5">+(E5-O5)*(1-R5)</f>
        <v>194086</v>
      </c>
      <c r="AA5" s="6">
        <f t="shared" ref="AA5:AA30" si="6">+(E5-O5)</f>
        <v>366200</v>
      </c>
      <c r="AH5" s="15">
        <f t="shared" ref="AH5:AH30" si="7">+J5/E5</f>
        <v>0.4732386673948662</v>
      </c>
      <c r="AI5" s="15">
        <f t="shared" ref="AI5:AI30" si="8">+M5/E5</f>
        <v>0.22637902785363184</v>
      </c>
    </row>
    <row r="6" spans="1:35" x14ac:dyDescent="0.2">
      <c r="A6" s="3" t="s">
        <v>2</v>
      </c>
      <c r="B6" s="6">
        <v>75754.937999999995</v>
      </c>
      <c r="C6" s="6">
        <v>178565.21099999998</v>
      </c>
      <c r="D6" s="6">
        <v>165037.54349999997</v>
      </c>
      <c r="E6" s="6">
        <f>+'Firms Agri Trade Restaurants'!S7</f>
        <v>112400</v>
      </c>
      <c r="F6" s="3" t="s">
        <v>2</v>
      </c>
      <c r="G6" s="6">
        <f>+'Data by size class'!AI6</f>
        <v>6192.3173556256352</v>
      </c>
      <c r="H6" s="6">
        <f>+'Data by size class'!AJ6</f>
        <v>1731.0961550145162</v>
      </c>
      <c r="I6" s="6">
        <f t="shared" si="1"/>
        <v>7923.4135106401518</v>
      </c>
      <c r="J6" s="6">
        <v>40200</v>
      </c>
      <c r="K6" s="6">
        <f t="shared" si="2"/>
        <v>72200</v>
      </c>
      <c r="L6" s="3" t="s">
        <v>2</v>
      </c>
      <c r="M6" s="6">
        <v>89400</v>
      </c>
      <c r="N6" s="6"/>
      <c r="O6" s="6">
        <v>0</v>
      </c>
      <c r="P6" s="3" t="s">
        <v>2</v>
      </c>
      <c r="Q6" s="17" t="s">
        <v>20</v>
      </c>
      <c r="R6" s="8">
        <f>+R$25</f>
        <v>0.65</v>
      </c>
      <c r="S6" s="3" t="s">
        <v>2</v>
      </c>
      <c r="T6" s="6">
        <f>+SUM(G6:H6)*(1-R6)</f>
        <v>2773.1947287240528</v>
      </c>
      <c r="U6" s="6">
        <f>+SUM(G6:H6)</f>
        <v>7923.4135106401518</v>
      </c>
      <c r="V6" s="6">
        <f>+H6*(1-R6)</f>
        <v>605.88365425508061</v>
      </c>
      <c r="W6" s="6">
        <f>+H6</f>
        <v>1731.0961550145162</v>
      </c>
      <c r="X6" s="6">
        <f t="shared" si="4"/>
        <v>25270</v>
      </c>
      <c r="Y6" s="6">
        <f t="shared" si="3"/>
        <v>72200</v>
      </c>
      <c r="Z6" s="6">
        <f t="shared" si="5"/>
        <v>39340</v>
      </c>
      <c r="AA6" s="6">
        <f t="shared" si="6"/>
        <v>112400</v>
      </c>
      <c r="AH6" s="15">
        <f t="shared" si="7"/>
        <v>0.35765124555160144</v>
      </c>
      <c r="AI6" s="15">
        <f t="shared" si="8"/>
        <v>0.79537366548042709</v>
      </c>
    </row>
    <row r="7" spans="1:35" x14ac:dyDescent="0.2">
      <c r="A7" s="3" t="s">
        <v>3</v>
      </c>
      <c r="B7" s="6">
        <v>12214.605</v>
      </c>
      <c r="C7" s="6">
        <v>24742.404999999999</v>
      </c>
      <c r="D7" s="6">
        <v>24585.807499999999</v>
      </c>
      <c r="E7" s="6">
        <f>+'Firms Agri Trade Restaurants'!S8</f>
        <v>33200</v>
      </c>
      <c r="F7" s="3" t="s">
        <v>3</v>
      </c>
      <c r="G7" s="6">
        <f>+'Data by size class'!AI7</f>
        <v>1177.9922953133666</v>
      </c>
      <c r="H7" s="6">
        <f>+'Data by size class'!AJ7</f>
        <v>263.86338492069711</v>
      </c>
      <c r="I7" s="6">
        <f t="shared" si="1"/>
        <v>1441.8556802340638</v>
      </c>
      <c r="J7" s="6">
        <v>10900</v>
      </c>
      <c r="K7" s="6">
        <f t="shared" si="2"/>
        <v>22300</v>
      </c>
      <c r="L7" s="3" t="s">
        <v>3</v>
      </c>
      <c r="M7" s="6">
        <v>7339.6328621946031</v>
      </c>
      <c r="N7" s="6"/>
      <c r="O7" s="6">
        <v>0</v>
      </c>
      <c r="P7" s="3" t="s">
        <v>3</v>
      </c>
      <c r="Q7" s="17" t="s">
        <v>14</v>
      </c>
      <c r="R7" s="8">
        <f>+R$19</f>
        <v>0.52</v>
      </c>
      <c r="S7" s="3" t="s">
        <v>3</v>
      </c>
      <c r="T7" s="6">
        <f>+SUM(G7:H7)*(1-R7)</f>
        <v>692.09072651235056</v>
      </c>
      <c r="U7" s="6">
        <f>+SUM(G7:H7)</f>
        <v>1441.8556802340638</v>
      </c>
      <c r="V7" s="6">
        <f>+H7*(1-R7)</f>
        <v>126.65442476193461</v>
      </c>
      <c r="W7" s="6">
        <f>+H7</f>
        <v>263.86338492069711</v>
      </c>
      <c r="X7" s="6">
        <f t="shared" si="4"/>
        <v>10704</v>
      </c>
      <c r="Y7" s="6">
        <f t="shared" si="3"/>
        <v>22300</v>
      </c>
      <c r="Z7" s="6">
        <f t="shared" si="5"/>
        <v>15936</v>
      </c>
      <c r="AA7" s="6">
        <f t="shared" si="6"/>
        <v>33200</v>
      </c>
      <c r="AH7" s="15">
        <f t="shared" si="7"/>
        <v>0.32831325301204817</v>
      </c>
      <c r="AI7" s="15">
        <f t="shared" si="8"/>
        <v>0.22107327898176515</v>
      </c>
    </row>
    <row r="8" spans="1:35" x14ac:dyDescent="0.2">
      <c r="A8" s="3" t="s">
        <v>4</v>
      </c>
      <c r="B8" s="6">
        <v>71444.394</v>
      </c>
      <c r="C8" s="6">
        <v>150827.05399999997</v>
      </c>
      <c r="D8" s="6">
        <v>146857.92099999997</v>
      </c>
      <c r="E8" s="6">
        <f>+'Firms Agri Trade Restaurants'!S9</f>
        <v>591390</v>
      </c>
      <c r="F8" s="3" t="s">
        <v>4</v>
      </c>
      <c r="G8" s="6">
        <f>+'Data by size class'!AI8</f>
        <v>10953.7418615511</v>
      </c>
      <c r="H8" s="6">
        <f>+'Data by size class'!AJ8</f>
        <v>4504.8980688985739</v>
      </c>
      <c r="I8" s="6">
        <f t="shared" si="1"/>
        <v>15458.639930449674</v>
      </c>
      <c r="J8" s="6">
        <v>133500</v>
      </c>
      <c r="K8" s="6">
        <f t="shared" si="2"/>
        <v>457890</v>
      </c>
      <c r="L8" s="3" t="s">
        <v>4</v>
      </c>
      <c r="M8" s="6">
        <v>161800</v>
      </c>
      <c r="N8" s="6"/>
      <c r="O8" s="6">
        <v>0</v>
      </c>
      <c r="P8" s="3" t="s">
        <v>4</v>
      </c>
      <c r="Q8" s="17" t="s">
        <v>20</v>
      </c>
      <c r="R8" s="8">
        <f>+R$25</f>
        <v>0.65</v>
      </c>
      <c r="S8" s="3" t="s">
        <v>4</v>
      </c>
      <c r="T8" s="6">
        <f>+SUM(G8:H8)*(1-R8)</f>
        <v>5410.5239756573856</v>
      </c>
      <c r="U8" s="6">
        <f>+SUM(G8:H8)</f>
        <v>15458.639930449674</v>
      </c>
      <c r="V8" s="6">
        <f>+H8*(1-R8)</f>
        <v>1576.7143241145009</v>
      </c>
      <c r="W8" s="6">
        <f>+H8</f>
        <v>4504.8980688985739</v>
      </c>
      <c r="X8" s="6">
        <f t="shared" si="4"/>
        <v>160261.5</v>
      </c>
      <c r="Y8" s="6">
        <f t="shared" si="3"/>
        <v>457890</v>
      </c>
      <c r="Z8" s="6">
        <f t="shared" si="5"/>
        <v>206986.5</v>
      </c>
      <c r="AA8" s="6">
        <f t="shared" si="6"/>
        <v>591390</v>
      </c>
      <c r="AH8" s="15">
        <f t="shared" si="7"/>
        <v>0.22573935981332116</v>
      </c>
      <c r="AI8" s="15">
        <f t="shared" si="8"/>
        <v>0.27359272223067688</v>
      </c>
    </row>
    <row r="9" spans="1:35" x14ac:dyDescent="0.2">
      <c r="A9" s="3" t="s">
        <v>5</v>
      </c>
      <c r="B9" s="6">
        <v>1158922.3229999999</v>
      </c>
      <c r="C9" s="6">
        <v>2347560.6030000001</v>
      </c>
      <c r="D9" s="6">
        <v>2332702.6244999999</v>
      </c>
      <c r="E9" s="6">
        <f>+'Firms Agri Trade Restaurants'!S10</f>
        <v>1821002</v>
      </c>
      <c r="F9" s="3" t="s">
        <v>5</v>
      </c>
      <c r="G9" s="6">
        <f>+'Data by size class'!AI9</f>
        <v>101963.2587609451</v>
      </c>
      <c r="H9" s="6">
        <f>+'Data by size class'!AJ9</f>
        <v>36325.79582562513</v>
      </c>
      <c r="I9" s="6">
        <f t="shared" si="1"/>
        <v>138289.05458657024</v>
      </c>
      <c r="J9" s="6">
        <v>693900</v>
      </c>
      <c r="K9" s="6">
        <f t="shared" si="2"/>
        <v>1127102</v>
      </c>
      <c r="L9" s="3" t="s">
        <v>5</v>
      </c>
      <c r="M9" s="6">
        <v>561500</v>
      </c>
      <c r="N9" s="6" t="s">
        <v>93</v>
      </c>
      <c r="O9" s="6">
        <f>+M9+13000</f>
        <v>574500</v>
      </c>
      <c r="P9" s="3" t="s">
        <v>5</v>
      </c>
      <c r="Q9" s="6"/>
      <c r="R9" s="7">
        <v>0.7</v>
      </c>
      <c r="S9" s="3" t="s">
        <v>5</v>
      </c>
      <c r="T9" s="6">
        <f>+SUM(G9:H9)*$AI9*(1-$R9)</f>
        <v>12792.293059045383</v>
      </c>
      <c r="U9" s="6">
        <f>+SUM(G9:H9)*$AI9</f>
        <v>42640.976863484604</v>
      </c>
      <c r="V9" s="6">
        <f>+H9*$AI9*(1-$R9)</f>
        <v>3360.2820352896665</v>
      </c>
      <c r="W9" s="6">
        <f>+H9*$AI9</f>
        <v>11200.940117632221</v>
      </c>
      <c r="X9" s="6">
        <f t="shared" si="4"/>
        <v>338130.60000000003</v>
      </c>
      <c r="Y9" s="6">
        <f t="shared" si="3"/>
        <v>1127102</v>
      </c>
      <c r="Z9" s="6">
        <f t="shared" si="5"/>
        <v>373950.60000000003</v>
      </c>
      <c r="AA9" s="6">
        <f t="shared" si="6"/>
        <v>1246502</v>
      </c>
      <c r="AG9" s="7">
        <v>0.19</v>
      </c>
      <c r="AH9" s="15">
        <f t="shared" si="7"/>
        <v>0.38105394722246322</v>
      </c>
      <c r="AI9" s="15">
        <f t="shared" si="8"/>
        <v>0.30834672339733837</v>
      </c>
    </row>
    <row r="10" spans="1:35" x14ac:dyDescent="0.2">
      <c r="A10" s="3" t="s">
        <v>6</v>
      </c>
      <c r="B10" s="6">
        <v>54864.243000000009</v>
      </c>
      <c r="C10" s="6">
        <v>128016.56700000001</v>
      </c>
      <c r="D10" s="6">
        <v>118872.52650000001</v>
      </c>
      <c r="E10" s="6">
        <f>+'Firms Agri Trade Restaurants'!S11</f>
        <v>104200</v>
      </c>
      <c r="F10" s="3" t="s">
        <v>6</v>
      </c>
      <c r="G10" s="6">
        <f>+'Data by size class'!AI10</f>
        <v>5249.4727005516634</v>
      </c>
      <c r="H10" s="6">
        <f>+'Data by size class'!AJ10</f>
        <v>1695.1823766285318</v>
      </c>
      <c r="I10" s="6">
        <f t="shared" si="1"/>
        <v>6944.6550771801949</v>
      </c>
      <c r="J10" s="6">
        <v>36300</v>
      </c>
      <c r="K10" s="6">
        <f t="shared" si="2"/>
        <v>67900</v>
      </c>
      <c r="L10" s="3" t="s">
        <v>6</v>
      </c>
      <c r="M10" s="6">
        <v>38600</v>
      </c>
      <c r="N10" s="6" t="s">
        <v>94</v>
      </c>
      <c r="O10" s="6">
        <f>+M10</f>
        <v>38600</v>
      </c>
      <c r="P10" s="3" t="s">
        <v>6</v>
      </c>
      <c r="Q10" s="18" t="s">
        <v>23</v>
      </c>
      <c r="R10" s="8">
        <f>+R$28</f>
        <v>0.6</v>
      </c>
      <c r="S10" s="3" t="s">
        <v>6</v>
      </c>
      <c r="T10" s="6">
        <f>+SUM(G10:H10)*$AI10*(1-$R10)</f>
        <v>1029.0352628758371</v>
      </c>
      <c r="U10" s="6">
        <f>+SUM(G10:H10)*$AI10</f>
        <v>2572.5881571895925</v>
      </c>
      <c r="V10" s="6">
        <f>+H10*$AI10*(1-$R10)</f>
        <v>251.18633296683811</v>
      </c>
      <c r="W10" s="6">
        <f>+H10*$AI10</f>
        <v>627.96583241709527</v>
      </c>
      <c r="X10" s="6">
        <f t="shared" si="4"/>
        <v>27160</v>
      </c>
      <c r="Y10" s="6">
        <f t="shared" si="3"/>
        <v>67900</v>
      </c>
      <c r="Z10" s="6">
        <f t="shared" si="5"/>
        <v>26240</v>
      </c>
      <c r="AA10" s="6">
        <f t="shared" si="6"/>
        <v>65600</v>
      </c>
      <c r="AH10" s="15">
        <f t="shared" si="7"/>
        <v>0.34836852207293667</v>
      </c>
      <c r="AI10" s="15">
        <f t="shared" si="8"/>
        <v>0.37044145873320539</v>
      </c>
    </row>
    <row r="11" spans="1:35" x14ac:dyDescent="0.2">
      <c r="A11" s="3" t="s">
        <v>7</v>
      </c>
      <c r="B11" s="6">
        <v>16631.982499999998</v>
      </c>
      <c r="C11" s="6">
        <v>23284.775500000003</v>
      </c>
      <c r="D11" s="6">
        <v>28274.37025</v>
      </c>
      <c r="E11" s="6">
        <f>+'Firms Agri Trade Restaurants'!S12</f>
        <v>34800</v>
      </c>
      <c r="F11" s="3" t="s">
        <v>7</v>
      </c>
      <c r="G11" s="6">
        <f>+'Data by size class'!AI11</f>
        <v>1323.0848415167716</v>
      </c>
      <c r="H11" s="6">
        <f>+'Data by size class'!AJ11</f>
        <v>360.36736351505817</v>
      </c>
      <c r="I11" s="6">
        <f t="shared" si="1"/>
        <v>1683.4522050318296</v>
      </c>
      <c r="J11" s="6">
        <v>8600</v>
      </c>
      <c r="K11" s="6">
        <f t="shared" si="2"/>
        <v>26200</v>
      </c>
      <c r="L11" s="3" t="s">
        <v>7</v>
      </c>
      <c r="M11" s="6">
        <v>10700.000000000002</v>
      </c>
      <c r="N11" s="6"/>
      <c r="O11" s="6">
        <v>0</v>
      </c>
      <c r="P11" s="3" t="s">
        <v>7</v>
      </c>
      <c r="Q11" s="17" t="s">
        <v>20</v>
      </c>
      <c r="R11" s="8">
        <f>+R$25</f>
        <v>0.65</v>
      </c>
      <c r="S11" s="3" t="s">
        <v>7</v>
      </c>
      <c r="T11" s="6">
        <f>+SUM(G11:H11)*(1-R11)</f>
        <v>589.20827176114028</v>
      </c>
      <c r="U11" s="6">
        <f>+SUM(G11:H11)</f>
        <v>1683.4522050318296</v>
      </c>
      <c r="V11" s="6">
        <f>+H11*(1-R11)</f>
        <v>126.12857723027035</v>
      </c>
      <c r="W11" s="6">
        <f>+H11</f>
        <v>360.36736351505817</v>
      </c>
      <c r="X11" s="6">
        <f t="shared" si="4"/>
        <v>9170</v>
      </c>
      <c r="Y11" s="6">
        <f t="shared" si="3"/>
        <v>26200</v>
      </c>
      <c r="Z11" s="6">
        <f t="shared" si="5"/>
        <v>12180</v>
      </c>
      <c r="AA11" s="6">
        <f t="shared" si="6"/>
        <v>34800</v>
      </c>
      <c r="AH11" s="15">
        <f t="shared" si="7"/>
        <v>0.2471264367816092</v>
      </c>
      <c r="AI11" s="15">
        <f t="shared" si="8"/>
        <v>0.30747126436781613</v>
      </c>
    </row>
    <row r="12" spans="1:35" x14ac:dyDescent="0.2">
      <c r="A12" s="3" t="s">
        <v>8</v>
      </c>
      <c r="B12" s="6">
        <v>896152.46100000013</v>
      </c>
      <c r="C12" s="6">
        <v>1927573.2180000001</v>
      </c>
      <c r="D12" s="6">
        <v>1859939.0700000003</v>
      </c>
      <c r="E12" s="6">
        <f>+'Firms Agri Trade Restaurants'!S13</f>
        <v>1304329.9999999998</v>
      </c>
      <c r="F12" s="3" t="s">
        <v>8</v>
      </c>
      <c r="G12" s="6">
        <f>+'Data by size class'!AI12</f>
        <v>28832.732619591694</v>
      </c>
      <c r="H12" s="6">
        <f>+'Data by size class'!AJ12</f>
        <v>11007.385049013794</v>
      </c>
      <c r="I12" s="6">
        <f t="shared" si="1"/>
        <v>39840.11766860549</v>
      </c>
      <c r="J12" s="6">
        <v>432500</v>
      </c>
      <c r="K12" s="6">
        <f t="shared" si="2"/>
        <v>871829.99999999977</v>
      </c>
      <c r="L12" s="3" t="s">
        <v>8</v>
      </c>
      <c r="M12" s="6">
        <v>367900</v>
      </c>
      <c r="N12" s="6" t="s">
        <v>94</v>
      </c>
      <c r="O12" s="6">
        <f>+M12</f>
        <v>367900</v>
      </c>
      <c r="P12" s="3" t="s">
        <v>8</v>
      </c>
      <c r="Q12" s="6"/>
      <c r="R12" s="7">
        <v>0.56000000000000005</v>
      </c>
      <c r="S12" s="3" t="s">
        <v>8</v>
      </c>
      <c r="T12" s="6">
        <f>+SUM(G12:H12)*$AI12*(1-$R12)</f>
        <v>4944.4227210316276</v>
      </c>
      <c r="U12" s="6">
        <f>+SUM(G12:H12)*$AI12</f>
        <v>11237.324365980972</v>
      </c>
      <c r="V12" s="6">
        <f>+H12*$AI12*(1-$R12)</f>
        <v>1366.0894575714406</v>
      </c>
      <c r="W12" s="6">
        <f>+H12*$AI12</f>
        <v>3104.7487672078196</v>
      </c>
      <c r="X12" s="6">
        <f t="shared" si="4"/>
        <v>383605.19999999984</v>
      </c>
      <c r="Y12" s="6">
        <f t="shared" si="3"/>
        <v>871829.99999999977</v>
      </c>
      <c r="Z12" s="6">
        <f t="shared" si="5"/>
        <v>412029.19999999984</v>
      </c>
      <c r="AA12" s="6">
        <f t="shared" si="6"/>
        <v>936429.99999999977</v>
      </c>
      <c r="AG12" s="7">
        <v>0.21</v>
      </c>
      <c r="AH12" s="15">
        <f t="shared" si="7"/>
        <v>0.33158786503415555</v>
      </c>
      <c r="AI12" s="15">
        <f t="shared" si="8"/>
        <v>0.28206052149379379</v>
      </c>
    </row>
    <row r="13" spans="1:35" x14ac:dyDescent="0.2">
      <c r="A13" s="3" t="s">
        <v>9</v>
      </c>
      <c r="B13" s="6">
        <v>29402.7</v>
      </c>
      <c r="C13" s="6">
        <v>78407.199999999997</v>
      </c>
      <c r="D13" s="6">
        <v>68606.3</v>
      </c>
      <c r="E13" s="6">
        <f>+'Firms Agri Trade Restaurants'!S14</f>
        <v>177890</v>
      </c>
      <c r="F13" s="3" t="s">
        <v>9</v>
      </c>
      <c r="G13" s="6">
        <f>+'Data by size class'!AI13</f>
        <v>7309.7185195276797</v>
      </c>
      <c r="H13" s="6">
        <f>+'Data by size class'!AJ13</f>
        <v>2576.1355534448153</v>
      </c>
      <c r="I13" s="6">
        <f t="shared" si="1"/>
        <v>9885.8540729724955</v>
      </c>
      <c r="J13" s="6">
        <v>52400</v>
      </c>
      <c r="K13" s="6">
        <f t="shared" si="2"/>
        <v>125490</v>
      </c>
      <c r="L13" s="3" t="s">
        <v>9</v>
      </c>
      <c r="M13" s="6">
        <v>66600</v>
      </c>
      <c r="N13" s="6"/>
      <c r="O13" s="6">
        <v>0</v>
      </c>
      <c r="P13" s="3" t="s">
        <v>9</v>
      </c>
      <c r="Q13" s="18" t="s">
        <v>23</v>
      </c>
      <c r="R13" s="8">
        <f>+R$28</f>
        <v>0.6</v>
      </c>
      <c r="S13" s="3" t="s">
        <v>9</v>
      </c>
      <c r="T13" s="6">
        <f>+SUM(G13:H13)*(1-R13)</f>
        <v>3954.3416291889985</v>
      </c>
      <c r="U13" s="6">
        <f>+SUM(G13:H13)</f>
        <v>9885.8540729724955</v>
      </c>
      <c r="V13" s="6">
        <f>+H13*(1-R13)</f>
        <v>1030.4542213779262</v>
      </c>
      <c r="W13" s="6">
        <f>+H13</f>
        <v>2576.1355534448153</v>
      </c>
      <c r="X13" s="6">
        <f t="shared" si="4"/>
        <v>50196</v>
      </c>
      <c r="Y13" s="6">
        <f t="shared" si="3"/>
        <v>125490</v>
      </c>
      <c r="Z13" s="6">
        <f t="shared" si="5"/>
        <v>71156</v>
      </c>
      <c r="AA13" s="6">
        <f t="shared" si="6"/>
        <v>177890</v>
      </c>
      <c r="AH13" s="15">
        <f t="shared" si="7"/>
        <v>0.29456405643937267</v>
      </c>
      <c r="AI13" s="15">
        <f t="shared" si="8"/>
        <v>0.3743886671538591</v>
      </c>
    </row>
    <row r="14" spans="1:35" x14ac:dyDescent="0.2">
      <c r="A14" s="3" t="s">
        <v>10</v>
      </c>
      <c r="B14" s="6">
        <v>638401.83400000003</v>
      </c>
      <c r="C14" s="6">
        <v>1368003.93</v>
      </c>
      <c r="D14" s="6">
        <v>1322403.7990000001</v>
      </c>
      <c r="E14" s="6">
        <f>+'Firms Agri Trade Restaurants'!S15</f>
        <v>1480800</v>
      </c>
      <c r="F14" s="3" t="s">
        <v>10</v>
      </c>
      <c r="G14" s="6">
        <f>+'Data by size class'!AI14</f>
        <v>27478.295513542853</v>
      </c>
      <c r="H14" s="6">
        <f>+'Data by size class'!AJ14</f>
        <v>11305.948785099818</v>
      </c>
      <c r="I14" s="6">
        <f t="shared" si="1"/>
        <v>38784.244298642669</v>
      </c>
      <c r="J14" s="6">
        <v>604300</v>
      </c>
      <c r="K14" s="6">
        <f t="shared" si="2"/>
        <v>876500</v>
      </c>
      <c r="L14" s="3" t="s">
        <v>10</v>
      </c>
      <c r="M14" s="6">
        <v>532300</v>
      </c>
      <c r="N14" s="6"/>
      <c r="O14" s="6">
        <v>0</v>
      </c>
      <c r="P14" s="3" t="s">
        <v>10</v>
      </c>
      <c r="R14" s="7">
        <v>0.55000000000000004</v>
      </c>
      <c r="S14" s="3" t="s">
        <v>10</v>
      </c>
      <c r="T14" s="6">
        <f>+SUM(G14:H14)*(1-R14)</f>
        <v>17452.909934389198</v>
      </c>
      <c r="U14" s="6">
        <f>+SUM(G14:H14)</f>
        <v>38784.244298642669</v>
      </c>
      <c r="V14" s="6">
        <f>+H14*(1-R14)</f>
        <v>5087.6769532949174</v>
      </c>
      <c r="W14" s="6">
        <f>+H14</f>
        <v>11305.948785099818</v>
      </c>
      <c r="X14" s="6">
        <f t="shared" si="4"/>
        <v>394424.99999999994</v>
      </c>
      <c r="Y14" s="6">
        <f t="shared" si="3"/>
        <v>876500</v>
      </c>
      <c r="Z14" s="6">
        <f t="shared" si="5"/>
        <v>666359.99999999988</v>
      </c>
      <c r="AA14" s="6">
        <f t="shared" si="6"/>
        <v>1480800</v>
      </c>
      <c r="AC14" s="7">
        <f>+'Collective Agreements'!Q13</f>
        <v>6.2611806797854275E-3</v>
      </c>
      <c r="AG14" s="7">
        <v>0.17</v>
      </c>
      <c r="AH14" s="15">
        <f t="shared" si="7"/>
        <v>0.40809022150189089</v>
      </c>
      <c r="AI14" s="15">
        <f t="shared" si="8"/>
        <v>0.35946785521339819</v>
      </c>
    </row>
    <row r="15" spans="1:35" x14ac:dyDescent="0.2">
      <c r="A15" s="3" t="s">
        <v>11</v>
      </c>
      <c r="B15" s="6">
        <v>151805.16</v>
      </c>
      <c r="C15" s="6">
        <v>307502.76</v>
      </c>
      <c r="D15" s="6">
        <v>305556.54000000004</v>
      </c>
      <c r="E15" s="6">
        <f>+'Firms Agri Trade Restaurants'!S16</f>
        <v>395349</v>
      </c>
      <c r="F15" s="3" t="s">
        <v>11</v>
      </c>
      <c r="G15" s="6">
        <f>+'Data by size class'!AI15</f>
        <v>9615.9809045690617</v>
      </c>
      <c r="H15" s="6">
        <f>+'Data by size class'!AJ15</f>
        <v>2515.6068889295339</v>
      </c>
      <c r="I15" s="6">
        <f t="shared" si="1"/>
        <v>12131.587793498595</v>
      </c>
      <c r="J15" s="6">
        <v>144600</v>
      </c>
      <c r="K15" s="6">
        <f t="shared" si="2"/>
        <v>250749</v>
      </c>
      <c r="L15" s="3" t="s">
        <v>11</v>
      </c>
      <c r="M15" s="6">
        <v>165400.00000000003</v>
      </c>
      <c r="N15" s="6" t="s">
        <v>94</v>
      </c>
      <c r="O15" s="6">
        <f>+M15</f>
        <v>165400.00000000003</v>
      </c>
      <c r="P15" s="3" t="s">
        <v>11</v>
      </c>
      <c r="Q15" s="17" t="s">
        <v>14</v>
      </c>
      <c r="R15" s="8">
        <f>+R$19</f>
        <v>0.52</v>
      </c>
      <c r="S15" s="3" t="s">
        <v>11</v>
      </c>
      <c r="T15" s="6">
        <f>+SUM(G15:H15)*$AI15*(1-$R15)</f>
        <v>2436.2045132311973</v>
      </c>
      <c r="U15" s="6">
        <f>+SUM(G15:H15)*$AI15</f>
        <v>5075.4260692316611</v>
      </c>
      <c r="V15" s="6">
        <f>+H15*$AI15*(1-$R15)</f>
        <v>505.17153736545083</v>
      </c>
      <c r="W15" s="6">
        <f>+H15*$AI15</f>
        <v>1052.4407028446892</v>
      </c>
      <c r="X15" s="6">
        <f t="shared" si="4"/>
        <v>120359.51999999999</v>
      </c>
      <c r="Y15" s="6">
        <f t="shared" si="3"/>
        <v>250749</v>
      </c>
      <c r="Z15" s="6">
        <f t="shared" si="5"/>
        <v>110375.51999999997</v>
      </c>
      <c r="AA15" s="6">
        <f t="shared" si="6"/>
        <v>229948.99999999997</v>
      </c>
      <c r="AH15" s="15">
        <f t="shared" si="7"/>
        <v>0.36575279057238036</v>
      </c>
      <c r="AI15" s="15">
        <f t="shared" si="8"/>
        <v>0.41836453361460391</v>
      </c>
    </row>
    <row r="16" spans="1:35" x14ac:dyDescent="0.2">
      <c r="A16" s="3" t="s">
        <v>26</v>
      </c>
      <c r="B16" s="6">
        <v>33966.470999999998</v>
      </c>
      <c r="C16" s="6">
        <v>88004.038499999995</v>
      </c>
      <c r="D16" s="6">
        <v>77968.490250000003</v>
      </c>
      <c r="E16" s="6">
        <f>+'Firms Agri Trade Restaurants'!S17</f>
        <v>48500</v>
      </c>
      <c r="F16" s="3" t="s">
        <v>26</v>
      </c>
      <c r="G16" s="6">
        <f>+'Data by size class'!AI16</f>
        <v>2872.0174687072922</v>
      </c>
      <c r="H16" s="6">
        <f>+'Data by size class'!AJ16</f>
        <v>1148.1566042647207</v>
      </c>
      <c r="I16" s="6">
        <f t="shared" si="1"/>
        <v>4020.1740729720132</v>
      </c>
      <c r="J16" s="6">
        <v>7000</v>
      </c>
      <c r="K16" s="6">
        <f t="shared" si="2"/>
        <v>41500</v>
      </c>
      <c r="L16" s="3" t="s">
        <v>26</v>
      </c>
      <c r="M16" s="6">
        <v>39047.887323943658</v>
      </c>
      <c r="N16" s="6"/>
      <c r="O16" s="6">
        <v>0</v>
      </c>
      <c r="P16" s="3" t="s">
        <v>26</v>
      </c>
      <c r="Q16" s="17" t="s">
        <v>20</v>
      </c>
      <c r="R16" s="8">
        <f>+R$25</f>
        <v>0.65</v>
      </c>
      <c r="S16" s="3" t="s">
        <v>26</v>
      </c>
      <c r="T16" s="6">
        <f t="shared" ref="T16:T18" si="9">+SUM(G16:H16)*(1-R16)</f>
        <v>1407.0609255402046</v>
      </c>
      <c r="U16" s="6">
        <f>+SUM(G16:H16)</f>
        <v>4020.1740729720132</v>
      </c>
      <c r="V16" s="6">
        <f t="shared" ref="V16:V18" si="10">+H16*(1-R16)</f>
        <v>401.85481149265223</v>
      </c>
      <c r="W16" s="6">
        <f>+H16</f>
        <v>1148.1566042647207</v>
      </c>
      <c r="X16" s="6">
        <f t="shared" si="4"/>
        <v>14524.999999999998</v>
      </c>
      <c r="Y16" s="6">
        <f t="shared" si="3"/>
        <v>41500</v>
      </c>
      <c r="Z16" s="6">
        <f t="shared" si="5"/>
        <v>16975</v>
      </c>
      <c r="AA16" s="6">
        <f t="shared" si="6"/>
        <v>48500</v>
      </c>
      <c r="AH16" s="15">
        <f t="shared" si="7"/>
        <v>0.14432989690721648</v>
      </c>
      <c r="AI16" s="15">
        <f t="shared" si="8"/>
        <v>0.80511107884419908</v>
      </c>
    </row>
    <row r="17" spans="1:35" x14ac:dyDescent="0.2">
      <c r="A17" s="3" t="s">
        <v>12</v>
      </c>
      <c r="B17" s="6">
        <v>103358.78</v>
      </c>
      <c r="C17" s="6">
        <v>169803.71</v>
      </c>
      <c r="D17" s="6">
        <v>188260.63500000001</v>
      </c>
      <c r="E17" s="6">
        <f>+'Firms Agri Trade Restaurants'!S18</f>
        <v>194100</v>
      </c>
      <c r="F17" s="3" t="s">
        <v>12</v>
      </c>
      <c r="G17" s="6">
        <f>+'Data by size class'!AI17</f>
        <v>4837.6630390761229</v>
      </c>
      <c r="H17" s="6">
        <f>+'Data by size class'!AJ17</f>
        <v>1769.1903530732732</v>
      </c>
      <c r="I17" s="6">
        <f t="shared" si="1"/>
        <v>6606.8533921493963</v>
      </c>
      <c r="J17" s="6">
        <v>78000</v>
      </c>
      <c r="K17" s="6">
        <f t="shared" si="2"/>
        <v>116100</v>
      </c>
      <c r="L17" s="3" t="s">
        <v>12</v>
      </c>
      <c r="M17" s="6">
        <v>138200</v>
      </c>
      <c r="N17" s="6"/>
      <c r="O17" s="6">
        <v>0</v>
      </c>
      <c r="P17" s="3" t="s">
        <v>12</v>
      </c>
      <c r="Q17" s="17" t="s">
        <v>20</v>
      </c>
      <c r="R17" s="8">
        <f>+R$25</f>
        <v>0.65</v>
      </c>
      <c r="S17" s="3" t="s">
        <v>12</v>
      </c>
      <c r="T17" s="6">
        <f t="shared" si="9"/>
        <v>2312.3986872522887</v>
      </c>
      <c r="U17" s="6">
        <f>+SUM(G17:H17)</f>
        <v>6606.8533921493963</v>
      </c>
      <c r="V17" s="6">
        <f t="shared" si="10"/>
        <v>619.2166235756456</v>
      </c>
      <c r="W17" s="6">
        <f>+H17</f>
        <v>1769.1903530732732</v>
      </c>
      <c r="X17" s="6">
        <f t="shared" si="4"/>
        <v>40635</v>
      </c>
      <c r="Y17" s="6">
        <f t="shared" si="3"/>
        <v>116100</v>
      </c>
      <c r="Z17" s="6">
        <f t="shared" si="5"/>
        <v>67935</v>
      </c>
      <c r="AA17" s="6">
        <f t="shared" si="6"/>
        <v>194100</v>
      </c>
      <c r="AH17" s="15">
        <f t="shared" si="7"/>
        <v>0.40185471406491502</v>
      </c>
      <c r="AI17" s="15">
        <f t="shared" si="8"/>
        <v>0.71200412158681092</v>
      </c>
    </row>
    <row r="18" spans="1:35" x14ac:dyDescent="0.2">
      <c r="A18" s="3" t="s">
        <v>13</v>
      </c>
      <c r="B18" s="6">
        <v>64838.58</v>
      </c>
      <c r="C18" s="6">
        <v>168580.30800000002</v>
      </c>
      <c r="D18" s="6">
        <v>149128.734</v>
      </c>
      <c r="E18" s="6">
        <f>+'Firms Agri Trade Restaurants'!S19</f>
        <v>143300</v>
      </c>
      <c r="F18" s="3" t="s">
        <v>13</v>
      </c>
      <c r="G18" s="6">
        <f>+'Data by size class'!AI18</f>
        <v>6001.1557545166079</v>
      </c>
      <c r="H18" s="6">
        <f>+'Data by size class'!AJ18</f>
        <v>1987.8684011640014</v>
      </c>
      <c r="I18" s="6">
        <f t="shared" si="1"/>
        <v>7989.0241556806095</v>
      </c>
      <c r="J18" s="6">
        <v>43400</v>
      </c>
      <c r="K18" s="6">
        <f t="shared" si="2"/>
        <v>99900</v>
      </c>
      <c r="L18" s="3" t="s">
        <v>13</v>
      </c>
      <c r="M18" s="6">
        <v>61400.000000000007</v>
      </c>
      <c r="N18" s="6"/>
      <c r="O18" s="32">
        <v>0</v>
      </c>
      <c r="P18" s="3" t="s">
        <v>13</v>
      </c>
      <c r="Q18" s="17" t="s">
        <v>23</v>
      </c>
      <c r="R18" s="8">
        <f>+R28</f>
        <v>0.6</v>
      </c>
      <c r="S18" s="3" t="s">
        <v>13</v>
      </c>
      <c r="T18" s="6">
        <f t="shared" si="9"/>
        <v>3195.6096622722439</v>
      </c>
      <c r="U18" s="6">
        <f>+SUM(G18:H18)</f>
        <v>7989.0241556806095</v>
      </c>
      <c r="V18" s="6">
        <f t="shared" si="10"/>
        <v>795.14736046560063</v>
      </c>
      <c r="W18" s="6">
        <f>+H18</f>
        <v>1987.8684011640014</v>
      </c>
      <c r="X18" s="6">
        <f t="shared" si="4"/>
        <v>39960</v>
      </c>
      <c r="Y18" s="6">
        <f t="shared" si="3"/>
        <v>99900</v>
      </c>
      <c r="Z18" s="6">
        <f t="shared" si="5"/>
        <v>57320</v>
      </c>
      <c r="AA18" s="6">
        <f t="shared" si="6"/>
        <v>143300</v>
      </c>
      <c r="AH18" s="15">
        <f t="shared" si="7"/>
        <v>0.30286113049546404</v>
      </c>
      <c r="AI18" s="15">
        <f t="shared" si="8"/>
        <v>0.42847173761339852</v>
      </c>
    </row>
    <row r="19" spans="1:35" x14ac:dyDescent="0.2">
      <c r="A19" s="3" t="s">
        <v>14</v>
      </c>
      <c r="B19" s="6">
        <v>682062.2790000001</v>
      </c>
      <c r="C19" s="6">
        <v>1606146.6569999999</v>
      </c>
      <c r="D19" s="6">
        <v>1485135.6074999999</v>
      </c>
      <c r="E19" s="6">
        <f>+'Firms Agri Trade Restaurants'!S20</f>
        <v>2539480</v>
      </c>
      <c r="F19" s="3" t="s">
        <v>14</v>
      </c>
      <c r="G19" s="6">
        <f>+'Data by size class'!AI19</f>
        <v>45904.180183990502</v>
      </c>
      <c r="H19" s="6">
        <f>+'Data by size class'!AJ19</f>
        <v>19898.763458399138</v>
      </c>
      <c r="I19" s="6">
        <f t="shared" si="1"/>
        <v>65802.94364238964</v>
      </c>
      <c r="J19" s="6">
        <v>800800</v>
      </c>
      <c r="K19" s="6">
        <f t="shared" si="2"/>
        <v>1738680</v>
      </c>
      <c r="L19" s="3" t="s">
        <v>14</v>
      </c>
      <c r="M19" s="6">
        <v>837500.00000000012</v>
      </c>
      <c r="N19" s="6" t="s">
        <v>95</v>
      </c>
      <c r="O19" s="6">
        <v>1500000</v>
      </c>
      <c r="P19" s="3" t="s">
        <v>14</v>
      </c>
      <c r="Q19" s="6"/>
      <c r="R19" s="7">
        <v>0.52</v>
      </c>
      <c r="S19" s="3" t="s">
        <v>14</v>
      </c>
      <c r="T19" s="6">
        <f>+SUM(G19:H19)*$AI19*(1-$R19)</f>
        <v>10416.614166774552</v>
      </c>
      <c r="U19" s="6">
        <f>+SUM(G19:H19)*$AI19</f>
        <v>21701.279514113652</v>
      </c>
      <c r="V19" s="6">
        <f>+H19*$AI19*(1-$R19)</f>
        <v>3149.9767315656964</v>
      </c>
      <c r="W19" s="6">
        <f>+H19*$AI19</f>
        <v>6562.4515240952014</v>
      </c>
      <c r="X19" s="6">
        <v>0</v>
      </c>
      <c r="Y19" s="6">
        <v>0</v>
      </c>
      <c r="Z19" s="6">
        <f t="shared" si="5"/>
        <v>498950.39999999997</v>
      </c>
      <c r="AA19" s="6">
        <f t="shared" si="6"/>
        <v>1039480</v>
      </c>
      <c r="AC19" s="7">
        <f>+'Collective Agreements'!Q18</f>
        <v>0.35135135135135132</v>
      </c>
      <c r="AG19" s="8">
        <v>0.28999999999999998</v>
      </c>
      <c r="AH19" s="15">
        <f t="shared" si="7"/>
        <v>0.31534014837683305</v>
      </c>
      <c r="AI19" s="15">
        <f t="shared" si="8"/>
        <v>0.32979192590609108</v>
      </c>
    </row>
    <row r="20" spans="1:35" x14ac:dyDescent="0.2">
      <c r="A20" s="3" t="s">
        <v>15</v>
      </c>
      <c r="B20" s="6">
        <v>37218.404999999999</v>
      </c>
      <c r="C20" s="6">
        <v>52105.767</v>
      </c>
      <c r="D20" s="6">
        <v>63271.288499999995</v>
      </c>
      <c r="E20" s="6">
        <f>+'Firms Agri Trade Restaurants'!S21</f>
        <v>68700</v>
      </c>
      <c r="F20" s="3" t="s">
        <v>15</v>
      </c>
      <c r="G20" s="6">
        <f>+'Data by size class'!AI20</f>
        <v>2774.1648407783823</v>
      </c>
      <c r="H20" s="6">
        <f>+'Data by size class'!AJ20</f>
        <v>813.15876865199527</v>
      </c>
      <c r="I20" s="6">
        <f t="shared" si="1"/>
        <v>3587.3236094303775</v>
      </c>
      <c r="J20" s="6">
        <v>15100</v>
      </c>
      <c r="K20" s="6">
        <f t="shared" si="2"/>
        <v>53600</v>
      </c>
      <c r="L20" s="3" t="s">
        <v>15</v>
      </c>
      <c r="M20" s="6">
        <v>28200.000000000004</v>
      </c>
      <c r="N20" s="6"/>
      <c r="O20" s="6">
        <v>0</v>
      </c>
      <c r="P20" s="3" t="s">
        <v>15</v>
      </c>
      <c r="Q20" s="17" t="s">
        <v>20</v>
      </c>
      <c r="R20" s="8">
        <f>+R$25</f>
        <v>0.65</v>
      </c>
      <c r="S20" s="3" t="s">
        <v>15</v>
      </c>
      <c r="T20" s="6">
        <f t="shared" ref="T20:T23" si="11">+SUM(G20:H20)*(1-R20)</f>
        <v>1255.5632633006321</v>
      </c>
      <c r="U20" s="6">
        <f>+SUM(G20:H20)</f>
        <v>3587.3236094303775</v>
      </c>
      <c r="V20" s="6">
        <f t="shared" ref="V20:V23" si="12">+H20*(1-R20)</f>
        <v>284.60556902819832</v>
      </c>
      <c r="W20" s="6">
        <f>+H20</f>
        <v>813.15876865199527</v>
      </c>
      <c r="X20" s="6">
        <f t="shared" si="4"/>
        <v>18760</v>
      </c>
      <c r="Y20" s="6">
        <f>+(E20-J20)</f>
        <v>53600</v>
      </c>
      <c r="Z20" s="6">
        <f t="shared" si="5"/>
        <v>24045</v>
      </c>
      <c r="AA20" s="6">
        <f t="shared" si="6"/>
        <v>68700</v>
      </c>
      <c r="AH20" s="15">
        <f t="shared" si="7"/>
        <v>0.2197962154294032</v>
      </c>
      <c r="AI20" s="15">
        <f t="shared" si="8"/>
        <v>0.41048034934497823</v>
      </c>
    </row>
    <row r="21" spans="1:35" x14ac:dyDescent="0.2">
      <c r="A21" s="3" t="s">
        <v>16</v>
      </c>
      <c r="B21" s="6">
        <v>8035.052999999999</v>
      </c>
      <c r="C21" s="6">
        <v>16276.133</v>
      </c>
      <c r="D21" s="6">
        <v>16173.119499999999</v>
      </c>
      <c r="E21" s="6">
        <f>+'Firms Agri Trade Restaurants'!S22</f>
        <v>11200</v>
      </c>
      <c r="F21" s="3" t="s">
        <v>16</v>
      </c>
      <c r="G21" s="6">
        <f>+'Data by size class'!AI21</f>
        <v>599.88239027759619</v>
      </c>
      <c r="H21" s="6">
        <f>+'Data by size class'!AJ21</f>
        <v>249.42285083155031</v>
      </c>
      <c r="I21" s="6">
        <f t="shared" si="1"/>
        <v>849.30524110914644</v>
      </c>
      <c r="J21" s="6">
        <v>6700</v>
      </c>
      <c r="K21" s="6">
        <f t="shared" si="2"/>
        <v>4500</v>
      </c>
      <c r="L21" s="3" t="s">
        <v>16</v>
      </c>
      <c r="M21" s="6">
        <v>4003.4361066516017</v>
      </c>
      <c r="N21" s="6"/>
      <c r="O21" s="6">
        <v>0</v>
      </c>
      <c r="P21" s="3" t="s">
        <v>16</v>
      </c>
      <c r="Q21" s="17" t="s">
        <v>5</v>
      </c>
      <c r="R21" s="8">
        <f>+R9</f>
        <v>0.7</v>
      </c>
      <c r="S21" s="3" t="s">
        <v>16</v>
      </c>
      <c r="T21" s="6">
        <f t="shared" si="11"/>
        <v>254.79157233274398</v>
      </c>
      <c r="U21" s="6">
        <f>+SUM(G21:H21)</f>
        <v>849.30524110914644</v>
      </c>
      <c r="V21" s="6">
        <f t="shared" si="12"/>
        <v>74.826855249465098</v>
      </c>
      <c r="W21" s="6">
        <f>+H21</f>
        <v>249.42285083155031</v>
      </c>
      <c r="X21" s="6">
        <f t="shared" si="4"/>
        <v>1350.0000000000002</v>
      </c>
      <c r="Y21" s="6">
        <f>+(E21-J21)</f>
        <v>4500</v>
      </c>
      <c r="Z21" s="6">
        <f t="shared" si="5"/>
        <v>3360.0000000000005</v>
      </c>
      <c r="AA21" s="6">
        <f t="shared" si="6"/>
        <v>11200</v>
      </c>
      <c r="AH21" s="15">
        <f t="shared" si="7"/>
        <v>0.5982142857142857</v>
      </c>
      <c r="AI21" s="15">
        <f t="shared" si="8"/>
        <v>0.3574496523796073</v>
      </c>
    </row>
    <row r="22" spans="1:35" x14ac:dyDescent="0.2">
      <c r="A22" s="3" t="s">
        <v>17</v>
      </c>
      <c r="B22" s="6">
        <v>25442.935000000001</v>
      </c>
      <c r="C22" s="6">
        <v>35620.109000000004</v>
      </c>
      <c r="D22" s="6">
        <v>43252.989500000003</v>
      </c>
      <c r="E22" s="6">
        <f>+'Firms Agri Trade Restaurants'!S23</f>
        <v>37900</v>
      </c>
      <c r="F22" s="3" t="s">
        <v>17</v>
      </c>
      <c r="G22" s="6">
        <f>+'Data by size class'!AI22</f>
        <v>1864.6439060389039</v>
      </c>
      <c r="H22" s="6">
        <f>+'Data by size class'!AJ22</f>
        <v>467.7371860939806</v>
      </c>
      <c r="I22" s="6">
        <f t="shared" si="1"/>
        <v>2332.3810921328845</v>
      </c>
      <c r="J22" s="6">
        <v>11400</v>
      </c>
      <c r="K22" s="6">
        <f t="shared" si="2"/>
        <v>26500</v>
      </c>
      <c r="L22" s="3" t="s">
        <v>17</v>
      </c>
      <c r="M22" s="6">
        <v>16274.13051484391</v>
      </c>
      <c r="N22" s="6"/>
      <c r="O22" s="6">
        <v>0</v>
      </c>
      <c r="P22" s="3" t="s">
        <v>17</v>
      </c>
      <c r="Q22" s="17" t="s">
        <v>20</v>
      </c>
      <c r="R22" s="8">
        <f>+R$25</f>
        <v>0.65</v>
      </c>
      <c r="S22" s="3" t="s">
        <v>17</v>
      </c>
      <c r="T22" s="6">
        <f t="shared" si="11"/>
        <v>816.33338224650959</v>
      </c>
      <c r="U22" s="6">
        <f>+SUM(G22:H22)</f>
        <v>2332.3810921328845</v>
      </c>
      <c r="V22" s="6">
        <f t="shared" si="12"/>
        <v>163.70801513289319</v>
      </c>
      <c r="W22" s="6">
        <f>+H22</f>
        <v>467.7371860939806</v>
      </c>
      <c r="X22" s="6">
        <f t="shared" si="4"/>
        <v>9275</v>
      </c>
      <c r="Y22" s="6">
        <f>+(E22-J22)</f>
        <v>26500</v>
      </c>
      <c r="Z22" s="6">
        <f t="shared" si="5"/>
        <v>13265</v>
      </c>
      <c r="AA22" s="6">
        <f t="shared" si="6"/>
        <v>37900</v>
      </c>
      <c r="AH22" s="15">
        <f t="shared" si="7"/>
        <v>0.30079155672823221</v>
      </c>
      <c r="AI22" s="15">
        <f t="shared" si="8"/>
        <v>0.42939658350511634</v>
      </c>
    </row>
    <row r="23" spans="1:35" x14ac:dyDescent="0.2">
      <c r="A23" s="3" t="s">
        <v>18</v>
      </c>
      <c r="B23" s="6">
        <v>6449.6640000000007</v>
      </c>
      <c r="C23" s="6">
        <v>13064.704000000002</v>
      </c>
      <c r="D23" s="6">
        <v>12982.016000000001</v>
      </c>
      <c r="E23" s="6">
        <f>+'Firms Agri Trade Restaurants'!S24</f>
        <v>19725</v>
      </c>
      <c r="F23" s="3" t="s">
        <v>18</v>
      </c>
      <c r="G23" s="6">
        <f>+'Data by size class'!AI23</f>
        <v>716.59750829975951</v>
      </c>
      <c r="H23" s="6">
        <f>+'Data by size class'!AJ23</f>
        <v>234.90372395229525</v>
      </c>
      <c r="I23" s="6">
        <f t="shared" si="1"/>
        <v>951.50123225205471</v>
      </c>
      <c r="J23" s="6">
        <v>4900</v>
      </c>
      <c r="K23" s="6">
        <f t="shared" si="2"/>
        <v>14825</v>
      </c>
      <c r="L23" s="3" t="s">
        <v>18</v>
      </c>
      <c r="M23" s="6">
        <v>7000</v>
      </c>
      <c r="N23" s="6"/>
      <c r="O23" s="6">
        <v>0</v>
      </c>
      <c r="P23" s="3" t="s">
        <v>18</v>
      </c>
      <c r="Q23" s="17" t="s">
        <v>14</v>
      </c>
      <c r="R23" s="8">
        <f>+R$19</f>
        <v>0.52</v>
      </c>
      <c r="S23" s="3" t="s">
        <v>18</v>
      </c>
      <c r="T23" s="6">
        <f t="shared" si="11"/>
        <v>456.72059148098623</v>
      </c>
      <c r="U23" s="6">
        <f>+SUM(G23:H23)</f>
        <v>951.50123225205471</v>
      </c>
      <c r="V23" s="6">
        <f t="shared" si="12"/>
        <v>112.75378749710171</v>
      </c>
      <c r="W23" s="6">
        <f>+H23</f>
        <v>234.90372395229525</v>
      </c>
      <c r="X23" s="6">
        <f t="shared" si="4"/>
        <v>7116</v>
      </c>
      <c r="Y23" s="6">
        <f>+(E23-J23)</f>
        <v>14825</v>
      </c>
      <c r="Z23" s="6">
        <f t="shared" si="5"/>
        <v>9468</v>
      </c>
      <c r="AA23" s="6">
        <f t="shared" si="6"/>
        <v>19725</v>
      </c>
      <c r="AH23" s="15">
        <f t="shared" si="7"/>
        <v>0.24841571609632446</v>
      </c>
      <c r="AI23" s="15">
        <f t="shared" si="8"/>
        <v>0.35487959442332068</v>
      </c>
    </row>
    <row r="24" spans="1:35" x14ac:dyDescent="0.2">
      <c r="A24" s="3" t="s">
        <v>19</v>
      </c>
      <c r="B24" s="6">
        <v>335335.63250000001</v>
      </c>
      <c r="C24" s="6">
        <v>567022.06949999998</v>
      </c>
      <c r="D24" s="6">
        <v>618846.66724999994</v>
      </c>
      <c r="E24" s="6">
        <f>+'Firms Agri Trade Restaurants'!S25</f>
        <v>953920</v>
      </c>
      <c r="F24" s="3" t="s">
        <v>19</v>
      </c>
      <c r="G24" s="6">
        <f>+'Data by size class'!AI24</f>
        <v>18569.855339544934</v>
      </c>
      <c r="H24" s="6">
        <f>+'Data by size class'!AJ24</f>
        <v>6420.4420916263107</v>
      </c>
      <c r="I24" s="6">
        <f t="shared" si="1"/>
        <v>24990.297431171246</v>
      </c>
      <c r="J24" s="6">
        <v>388500</v>
      </c>
      <c r="K24" s="6">
        <f t="shared" si="2"/>
        <v>565420</v>
      </c>
      <c r="L24" s="3" t="s">
        <v>19</v>
      </c>
      <c r="M24" s="6">
        <v>219600</v>
      </c>
      <c r="N24" s="6" t="s">
        <v>96</v>
      </c>
      <c r="O24" s="16">
        <f>+E24-J24</f>
        <v>565420</v>
      </c>
      <c r="P24" s="3" t="s">
        <v>19</v>
      </c>
      <c r="Q24" s="16"/>
      <c r="R24" s="7">
        <v>0.47</v>
      </c>
      <c r="S24" s="3" t="s">
        <v>19</v>
      </c>
      <c r="T24" s="6">
        <f>+SUM(G24:H24)*$AI24*(1-$R24)</f>
        <v>3049.0719739801652</v>
      </c>
      <c r="U24" s="6">
        <f>+SUM(G24:H24)*$AI24</f>
        <v>5752.9659886418212</v>
      </c>
      <c r="V24" s="6">
        <f>+H24*$AI24*(1-$R24)</f>
        <v>783.35962571306095</v>
      </c>
      <c r="W24" s="6">
        <f>+H24*$AI24</f>
        <v>1478.0370296472847</v>
      </c>
      <c r="X24" s="6">
        <f t="shared" si="4"/>
        <v>299672.60000000003</v>
      </c>
      <c r="Y24" s="6">
        <f>+(E24-J24)</f>
        <v>565420</v>
      </c>
      <c r="Z24" s="6">
        <f t="shared" si="5"/>
        <v>205905</v>
      </c>
      <c r="AA24" s="6">
        <f t="shared" si="6"/>
        <v>388500</v>
      </c>
      <c r="AC24" s="7">
        <f>+'Collective Agreements'!Q23</f>
        <v>0.28205128205128216</v>
      </c>
      <c r="AG24" s="7">
        <v>0.2</v>
      </c>
      <c r="AH24" s="15">
        <f t="shared" si="7"/>
        <v>0.40726685675947666</v>
      </c>
      <c r="AI24" s="15">
        <f t="shared" si="8"/>
        <v>0.2302079838980208</v>
      </c>
    </row>
    <row r="25" spans="1:35" x14ac:dyDescent="0.2">
      <c r="A25" s="3" t="s">
        <v>20</v>
      </c>
      <c r="B25" s="6">
        <v>497875.92749999999</v>
      </c>
      <c r="C25" s="6">
        <v>697026.29850000003</v>
      </c>
      <c r="D25" s="6">
        <v>846389.07675000001</v>
      </c>
      <c r="E25" s="6">
        <f>+'Firms Agri Trade Restaurants'!S26</f>
        <v>994600</v>
      </c>
      <c r="F25" s="3" t="s">
        <v>20</v>
      </c>
      <c r="G25" s="6">
        <f>+'Data by size class'!AI25</f>
        <v>41384.486994990453</v>
      </c>
      <c r="H25" s="6">
        <f>+'Data by size class'!AJ25</f>
        <v>15786.943314966256</v>
      </c>
      <c r="I25" s="6">
        <f t="shared" si="1"/>
        <v>57171.430309956711</v>
      </c>
      <c r="J25" s="6">
        <v>383400</v>
      </c>
      <c r="K25" s="6">
        <f t="shared" si="2"/>
        <v>611200</v>
      </c>
      <c r="L25" s="3" t="s">
        <v>20</v>
      </c>
      <c r="M25" s="6">
        <v>522100</v>
      </c>
      <c r="N25" s="6" t="s">
        <v>97</v>
      </c>
      <c r="O25" s="6">
        <f>+E25</f>
        <v>994600</v>
      </c>
      <c r="P25" s="3" t="s">
        <v>20</v>
      </c>
      <c r="Q25" s="6"/>
      <c r="R25" s="7">
        <v>0.65</v>
      </c>
      <c r="S25" s="3" t="s">
        <v>20</v>
      </c>
      <c r="T25" s="6">
        <v>0</v>
      </c>
      <c r="U25" s="6">
        <f>+SUM(G25:H25)</f>
        <v>57171.430309956711</v>
      </c>
      <c r="V25" s="6">
        <v>0</v>
      </c>
      <c r="W25" s="6">
        <f>+H25</f>
        <v>15786.943314966256</v>
      </c>
      <c r="X25" s="6">
        <v>0</v>
      </c>
      <c r="Y25" s="6">
        <v>0</v>
      </c>
      <c r="Z25" s="6">
        <f t="shared" si="5"/>
        <v>0</v>
      </c>
      <c r="AA25" s="6">
        <f t="shared" si="6"/>
        <v>0</v>
      </c>
      <c r="AG25" s="7">
        <v>0.15</v>
      </c>
      <c r="AH25" s="15">
        <f t="shared" si="7"/>
        <v>0.38548160064347475</v>
      </c>
      <c r="AI25" s="15">
        <f t="shared" si="8"/>
        <v>0.52493464709430926</v>
      </c>
    </row>
    <row r="26" spans="1:35" x14ac:dyDescent="0.2">
      <c r="A26" s="3" t="s">
        <v>21</v>
      </c>
      <c r="B26" s="6">
        <v>131522.51</v>
      </c>
      <c r="C26" s="6">
        <v>259287.23400000003</v>
      </c>
      <c r="D26" s="6">
        <v>261166.12700000004</v>
      </c>
      <c r="E26" s="6">
        <f>+'Firms Agri Trade Restaurants'!S27</f>
        <v>289000</v>
      </c>
      <c r="F26" s="3" t="s">
        <v>21</v>
      </c>
      <c r="G26" s="6">
        <f>+'Data by size class'!AI26</f>
        <v>7786.5727424119623</v>
      </c>
      <c r="H26" s="6">
        <f>+'Data by size class'!AJ26</f>
        <v>2188.0196523335062</v>
      </c>
      <c r="I26" s="6">
        <f t="shared" si="1"/>
        <v>9974.5923947454685</v>
      </c>
      <c r="J26" s="6">
        <v>90100</v>
      </c>
      <c r="K26" s="6">
        <f t="shared" si="2"/>
        <v>198900</v>
      </c>
      <c r="L26" s="3" t="s">
        <v>21</v>
      </c>
      <c r="M26" s="6">
        <v>86500</v>
      </c>
      <c r="N26" s="6" t="s">
        <v>94</v>
      </c>
      <c r="O26" s="6">
        <f>+M26</f>
        <v>86500</v>
      </c>
      <c r="P26" s="3" t="s">
        <v>21</v>
      </c>
      <c r="Q26" s="17" t="s">
        <v>14</v>
      </c>
      <c r="R26" s="8">
        <f>+R$19</f>
        <v>0.52</v>
      </c>
      <c r="S26" s="3" t="s">
        <v>21</v>
      </c>
      <c r="T26" s="6">
        <f>+SUM(G26:H26)*$AI26*(1-$R26)</f>
        <v>1433.0279454319439</v>
      </c>
      <c r="U26" s="6">
        <f>+SUM(G26:H26)*$AI26</f>
        <v>2985.4748863165501</v>
      </c>
      <c r="V26" s="6">
        <f>+H26*$AI26*(1-$R26)</f>
        <v>314.34801371933276</v>
      </c>
      <c r="W26" s="6">
        <f>+H26*$AI26</f>
        <v>654.89169524860995</v>
      </c>
      <c r="X26" s="6">
        <f t="shared" si="4"/>
        <v>95472</v>
      </c>
      <c r="Y26" s="6">
        <f>+(E26-J26)</f>
        <v>198900</v>
      </c>
      <c r="Z26" s="6">
        <f t="shared" si="5"/>
        <v>97200</v>
      </c>
      <c r="AA26" s="6">
        <f t="shared" si="6"/>
        <v>202500</v>
      </c>
      <c r="AH26" s="15">
        <f t="shared" si="7"/>
        <v>0.31176470588235294</v>
      </c>
      <c r="AI26" s="15">
        <f t="shared" si="8"/>
        <v>0.29930795847750863</v>
      </c>
    </row>
    <row r="27" spans="1:35" x14ac:dyDescent="0.2">
      <c r="A27" s="3" t="s">
        <v>22</v>
      </c>
      <c r="B27" s="6">
        <v>204011.57</v>
      </c>
      <c r="C27" s="6">
        <v>480884.41499999998</v>
      </c>
      <c r="D27" s="6">
        <v>444453.77749999997</v>
      </c>
      <c r="E27" s="6">
        <f>+'Firms Agri Trade Restaurants'!S28</f>
        <v>855550</v>
      </c>
      <c r="F27" s="3" t="s">
        <v>22</v>
      </c>
      <c r="G27" s="6">
        <f>+'Data by size class'!AI27</f>
        <v>48917.762968441973</v>
      </c>
      <c r="H27" s="6">
        <f>+'Data by size class'!AJ27</f>
        <v>17933.47710821532</v>
      </c>
      <c r="I27" s="6">
        <f t="shared" si="1"/>
        <v>66851.240076657297</v>
      </c>
      <c r="J27" s="6">
        <v>37700</v>
      </c>
      <c r="K27" s="6">
        <f t="shared" si="2"/>
        <v>817850</v>
      </c>
      <c r="L27" s="3" t="s">
        <v>22</v>
      </c>
      <c r="M27" s="6">
        <v>216000.00000000003</v>
      </c>
      <c r="N27" s="6"/>
      <c r="O27" s="6">
        <v>0</v>
      </c>
      <c r="P27" s="3" t="s">
        <v>22</v>
      </c>
      <c r="Q27" s="17" t="s">
        <v>20</v>
      </c>
      <c r="R27" s="8">
        <f>+R$25</f>
        <v>0.65</v>
      </c>
      <c r="S27" s="3" t="s">
        <v>22</v>
      </c>
      <c r="T27" s="6">
        <f>+SUM(G27:H27)*(1-R27)</f>
        <v>23397.934026830051</v>
      </c>
      <c r="U27" s="6">
        <f>+SUM(G27:H27)</f>
        <v>66851.240076657297</v>
      </c>
      <c r="V27" s="6">
        <f>+H27*(1-R27)</f>
        <v>6276.7169878753621</v>
      </c>
      <c r="W27" s="6">
        <f>+H27</f>
        <v>17933.47710821532</v>
      </c>
      <c r="X27" s="6">
        <f t="shared" si="4"/>
        <v>286247.5</v>
      </c>
      <c r="Y27" s="6">
        <f>+(E27-J27)</f>
        <v>817850</v>
      </c>
      <c r="Z27" s="6">
        <f t="shared" si="5"/>
        <v>299442.5</v>
      </c>
      <c r="AA27" s="6">
        <f t="shared" si="6"/>
        <v>855550</v>
      </c>
      <c r="AH27" s="15">
        <f t="shared" si="7"/>
        <v>4.406522120273508E-2</v>
      </c>
      <c r="AI27" s="15">
        <f t="shared" si="8"/>
        <v>0.25246917187773948</v>
      </c>
    </row>
    <row r="28" spans="1:35" x14ac:dyDescent="0.2">
      <c r="A28" s="3" t="s">
        <v>23</v>
      </c>
      <c r="B28" s="6">
        <v>93522.384000000005</v>
      </c>
      <c r="C28" s="6">
        <v>218218.89600000001</v>
      </c>
      <c r="D28" s="6">
        <v>202631.83199999999</v>
      </c>
      <c r="E28" s="6">
        <f>+'Firms Agri Trade Restaurants'!S29</f>
        <v>233600</v>
      </c>
      <c r="F28" s="3" t="s">
        <v>23</v>
      </c>
      <c r="G28" s="6">
        <f>+'Data by size class'!AI28</f>
        <v>6510.0018347411069</v>
      </c>
      <c r="H28" s="6">
        <f>+'Data by size class'!AJ28</f>
        <v>2689.756360382582</v>
      </c>
      <c r="I28" s="6">
        <f t="shared" si="1"/>
        <v>9199.7581951236898</v>
      </c>
      <c r="J28" s="6">
        <v>80800</v>
      </c>
      <c r="K28" s="6">
        <f t="shared" si="2"/>
        <v>152800</v>
      </c>
      <c r="L28" s="3" t="s">
        <v>23</v>
      </c>
      <c r="M28" s="6">
        <v>122400</v>
      </c>
      <c r="N28" s="6" t="s">
        <v>94</v>
      </c>
      <c r="O28" s="6">
        <f>+M28</f>
        <v>122400</v>
      </c>
      <c r="P28" s="3" t="s">
        <v>23</v>
      </c>
      <c r="Q28" s="6"/>
      <c r="R28" s="7">
        <v>0.6</v>
      </c>
      <c r="S28" s="3" t="s">
        <v>23</v>
      </c>
      <c r="T28" s="6">
        <f>+SUM(G28:H28)*$AI28*(1-$R28)</f>
        <v>1928.1684984300337</v>
      </c>
      <c r="U28" s="6">
        <f>+SUM(G28:H28)*$AI28</f>
        <v>4820.4212460750841</v>
      </c>
      <c r="V28" s="6">
        <f>+H28*$AI28*(1-$R28)</f>
        <v>563.74345635415762</v>
      </c>
      <c r="W28" s="6">
        <f>+H28*$AI28</f>
        <v>1409.3586408853939</v>
      </c>
      <c r="X28" s="6">
        <f t="shared" si="4"/>
        <v>61120</v>
      </c>
      <c r="Y28" s="6">
        <f>+(E28-J28)</f>
        <v>152800</v>
      </c>
      <c r="Z28" s="6">
        <f t="shared" si="5"/>
        <v>44480</v>
      </c>
      <c r="AA28" s="6">
        <f t="shared" si="6"/>
        <v>111200</v>
      </c>
      <c r="AC28" s="7">
        <f>+'Collective Agreements'!Q28</f>
        <v>0.18181818181818188</v>
      </c>
      <c r="AG28" s="7">
        <v>0.18</v>
      </c>
      <c r="AH28" s="15">
        <f t="shared" si="7"/>
        <v>0.3458904109589041</v>
      </c>
      <c r="AI28" s="15">
        <f t="shared" si="8"/>
        <v>0.52397260273972601</v>
      </c>
    </row>
    <row r="29" spans="1:35" x14ac:dyDescent="0.2">
      <c r="A29" s="3" t="s">
        <v>24</v>
      </c>
      <c r="B29" s="6">
        <v>16813.379000000001</v>
      </c>
      <c r="C29" s="6">
        <v>43561.936500000003</v>
      </c>
      <c r="D29" s="6">
        <v>38594.347250000006</v>
      </c>
      <c r="E29" s="6">
        <f>+'Firms Agri Trade Restaurants'!S30</f>
        <v>56700</v>
      </c>
      <c r="F29" s="3" t="s">
        <v>24</v>
      </c>
      <c r="G29" s="6">
        <f>+'Data by size class'!AI29</f>
        <v>1627.349487219079</v>
      </c>
      <c r="H29" s="6">
        <f>+'Data by size class'!AJ29</f>
        <v>563.32180733531186</v>
      </c>
      <c r="I29" s="6">
        <f t="shared" si="1"/>
        <v>2190.6712945543909</v>
      </c>
      <c r="J29" s="6">
        <v>19000</v>
      </c>
      <c r="K29" s="6">
        <f t="shared" si="2"/>
        <v>37700</v>
      </c>
      <c r="L29" s="3" t="s">
        <v>24</v>
      </c>
      <c r="M29" s="6">
        <v>23900</v>
      </c>
      <c r="N29" s="6" t="s">
        <v>92</v>
      </c>
      <c r="O29" s="2">
        <v>300</v>
      </c>
      <c r="P29" s="3" t="s">
        <v>24</v>
      </c>
      <c r="Q29" s="17" t="s">
        <v>20</v>
      </c>
      <c r="R29" s="8">
        <f>+R$25</f>
        <v>0.65</v>
      </c>
      <c r="S29" s="3" t="s">
        <v>24</v>
      </c>
      <c r="T29" s="6">
        <f>+SUM(G29:H29)*(1-R29)</f>
        <v>766.73495309403677</v>
      </c>
      <c r="U29" s="6">
        <f>+SUM(G29:H29)</f>
        <v>2190.6712945543909</v>
      </c>
      <c r="V29" s="6">
        <f>+H29*(1-R29)</f>
        <v>197.16263256735914</v>
      </c>
      <c r="W29" s="6">
        <f>+H29</f>
        <v>563.32180733531186</v>
      </c>
      <c r="X29" s="6">
        <f t="shared" si="4"/>
        <v>13195</v>
      </c>
      <c r="Y29" s="6">
        <f>+(E29-J29)</f>
        <v>37700</v>
      </c>
      <c r="Z29" s="6">
        <f t="shared" si="5"/>
        <v>19740</v>
      </c>
      <c r="AA29" s="6">
        <f t="shared" si="6"/>
        <v>56400</v>
      </c>
      <c r="AH29" s="15">
        <f t="shared" si="7"/>
        <v>0.33509700176366841</v>
      </c>
      <c r="AI29" s="15">
        <f t="shared" si="8"/>
        <v>0.42151675485008816</v>
      </c>
    </row>
    <row r="30" spans="1:35" x14ac:dyDescent="0.2">
      <c r="A30" s="3" t="s">
        <v>25</v>
      </c>
      <c r="B30" s="6">
        <v>37028.25</v>
      </c>
      <c r="C30" s="6">
        <v>84342.125</v>
      </c>
      <c r="D30" s="6">
        <v>79199.3125</v>
      </c>
      <c r="E30" s="6">
        <f>+'Firms Agri Trade Restaurants'!S31</f>
        <v>265040</v>
      </c>
      <c r="F30" s="3" t="s">
        <v>25</v>
      </c>
      <c r="G30" s="6">
        <f>+'Data by size class'!AI30</f>
        <v>3736.3160377160357</v>
      </c>
      <c r="H30" s="6">
        <f>+'Data by size class'!AJ30</f>
        <v>1529.8598136952119</v>
      </c>
      <c r="I30" s="6">
        <f t="shared" si="1"/>
        <v>5266.175851411248</v>
      </c>
      <c r="J30" s="6">
        <v>45000</v>
      </c>
      <c r="K30" s="6">
        <f t="shared" si="2"/>
        <v>220040</v>
      </c>
      <c r="L30" s="3" t="s">
        <v>25</v>
      </c>
      <c r="M30" s="6">
        <v>120299.99999999999</v>
      </c>
      <c r="N30" s="6"/>
      <c r="O30" s="6">
        <v>0</v>
      </c>
      <c r="P30" s="3" t="s">
        <v>25</v>
      </c>
      <c r="Q30" s="17" t="s">
        <v>20</v>
      </c>
      <c r="R30" s="8">
        <f>+R$25</f>
        <v>0.65</v>
      </c>
      <c r="S30" s="3" t="s">
        <v>25</v>
      </c>
      <c r="T30" s="6">
        <f>+SUM(G30:H30)*(1-R30)</f>
        <v>1843.1615479939367</v>
      </c>
      <c r="U30" s="6">
        <f>+SUM(G30:H30)</f>
        <v>5266.175851411248</v>
      </c>
      <c r="V30" s="6">
        <f>+H30*(1-R30)</f>
        <v>535.45093479332411</v>
      </c>
      <c r="W30" s="6">
        <f>+H30</f>
        <v>1529.8598136952119</v>
      </c>
      <c r="X30" s="6">
        <f t="shared" si="4"/>
        <v>77014</v>
      </c>
      <c r="Y30" s="6">
        <f>+(E30-J30)</f>
        <v>220040</v>
      </c>
      <c r="Z30" s="6">
        <f t="shared" si="5"/>
        <v>92764</v>
      </c>
      <c r="AA30" s="6">
        <f t="shared" si="6"/>
        <v>265040</v>
      </c>
      <c r="AH30" s="15">
        <f t="shared" si="7"/>
        <v>0.16978569272562632</v>
      </c>
      <c r="AI30" s="15">
        <f t="shared" si="8"/>
        <v>0.45389375188650766</v>
      </c>
    </row>
    <row r="32" spans="1:35" s="13" customFormat="1" x14ac:dyDescent="0.2">
      <c r="B32" s="13" t="s">
        <v>37</v>
      </c>
      <c r="G32" s="202" t="s">
        <v>78</v>
      </c>
      <c r="H32" s="202"/>
      <c r="I32" s="14"/>
      <c r="J32" s="13" t="s">
        <v>79</v>
      </c>
      <c r="M32" s="13" t="s">
        <v>82</v>
      </c>
      <c r="O32" s="2" t="s">
        <v>86</v>
      </c>
      <c r="Q32" s="2"/>
      <c r="T32" s="13" t="s">
        <v>101</v>
      </c>
      <c r="X32" s="19" t="s">
        <v>103</v>
      </c>
      <c r="Y32" s="19"/>
    </row>
    <row r="33" spans="15:24" x14ac:dyDescent="0.2">
      <c r="O33" s="2" t="s">
        <v>87</v>
      </c>
      <c r="X33" s="2" t="s">
        <v>105</v>
      </c>
    </row>
    <row r="35" spans="15:24" x14ac:dyDescent="0.2">
      <c r="O35" s="2" t="s">
        <v>88</v>
      </c>
    </row>
    <row r="36" spans="15:24" x14ac:dyDescent="0.2">
      <c r="O36" s="2" t="s">
        <v>89</v>
      </c>
    </row>
    <row r="38" spans="15:24" x14ac:dyDescent="0.2">
      <c r="O38" s="13" t="s">
        <v>83</v>
      </c>
      <c r="Q38" s="13"/>
    </row>
    <row r="39" spans="15:24" x14ac:dyDescent="0.2">
      <c r="O39" s="2" t="s">
        <v>84</v>
      </c>
    </row>
    <row r="41" spans="15:24" x14ac:dyDescent="0.2">
      <c r="O41" s="2" t="s">
        <v>90</v>
      </c>
    </row>
  </sheetData>
  <mergeCells count="5">
    <mergeCell ref="G32:H32"/>
    <mergeCell ref="T1:U1"/>
    <mergeCell ref="V1:W1"/>
    <mergeCell ref="X1:Y1"/>
    <mergeCell ref="Z1:AA1"/>
  </mergeCells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C000"/>
  </sheetPr>
  <dimension ref="A1:BU33"/>
  <sheetViews>
    <sheetView workbookViewId="0">
      <selection activeCell="H33" sqref="H33"/>
    </sheetView>
  </sheetViews>
  <sheetFormatPr defaultColWidth="9.140625" defaultRowHeight="11.25" x14ac:dyDescent="0.2"/>
  <cols>
    <col min="1" max="1" width="23.7109375" style="2" customWidth="1"/>
    <col min="2" max="12" width="9.140625" style="2"/>
    <col min="13" max="13" width="5.140625" style="2" customWidth="1"/>
    <col min="14" max="21" width="9.140625" style="2"/>
    <col min="22" max="22" width="5" style="2" customWidth="1"/>
    <col min="23" max="29" width="9.140625" style="2"/>
    <col min="30" max="30" width="19.28515625" style="2" customWidth="1"/>
    <col min="31" max="36" width="9.42578125" style="2" customWidth="1"/>
    <col min="37" max="37" width="3.85546875" style="2" customWidth="1"/>
    <col min="38" max="38" width="9.140625" style="2"/>
    <col min="39" max="39" width="5" style="2" customWidth="1"/>
    <col min="40" max="40" width="12" style="2" customWidth="1"/>
    <col min="41" max="46" width="9.140625" style="2"/>
    <col min="47" max="47" width="3.7109375" style="2" customWidth="1"/>
    <col min="48" max="48" width="5" style="2" customWidth="1"/>
    <col min="49" max="53" width="9.140625" style="2"/>
    <col min="54" max="54" width="11" style="2" customWidth="1"/>
    <col min="55" max="56" width="10.85546875" style="2" customWidth="1"/>
    <col min="57" max="57" width="9.140625" style="2"/>
    <col min="58" max="58" width="5" style="2" customWidth="1"/>
    <col min="59" max="65" width="9.140625" style="2"/>
    <col min="66" max="66" width="11" style="2" customWidth="1"/>
    <col min="67" max="70" width="10.85546875" style="2" customWidth="1"/>
    <col min="71" max="16384" width="9.140625" style="2"/>
  </cols>
  <sheetData>
    <row r="1" spans="1:73" x14ac:dyDescent="0.2">
      <c r="A1" s="2" t="s">
        <v>52</v>
      </c>
      <c r="E1" s="2" t="s">
        <v>54</v>
      </c>
      <c r="M1" s="2" t="s">
        <v>165</v>
      </c>
      <c r="W1" s="2" t="s">
        <v>339</v>
      </c>
      <c r="AE1" s="2" t="s">
        <v>340</v>
      </c>
      <c r="AN1" s="2" t="s">
        <v>173</v>
      </c>
      <c r="AW1" s="2" t="s">
        <v>174</v>
      </c>
      <c r="BC1" s="2" t="s">
        <v>180</v>
      </c>
      <c r="BG1" s="2" t="s">
        <v>183</v>
      </c>
      <c r="BJ1" s="2" t="s">
        <v>185</v>
      </c>
      <c r="BP1" s="2" t="s">
        <v>191</v>
      </c>
      <c r="BS1" s="2" t="s">
        <v>187</v>
      </c>
    </row>
    <row r="2" spans="1:73" x14ac:dyDescent="0.2">
      <c r="A2" s="9"/>
      <c r="B2" s="9">
        <v>2011</v>
      </c>
      <c r="C2" s="9">
        <v>2013</v>
      </c>
      <c r="E2" s="9" t="s">
        <v>55</v>
      </c>
      <c r="F2" s="9" t="s">
        <v>56</v>
      </c>
      <c r="G2" s="9" t="s">
        <v>57</v>
      </c>
      <c r="H2" s="9" t="s">
        <v>58</v>
      </c>
      <c r="I2" s="9" t="s">
        <v>59</v>
      </c>
      <c r="J2" s="9" t="s">
        <v>60</v>
      </c>
      <c r="K2" s="9" t="s">
        <v>61</v>
      </c>
      <c r="M2" s="1"/>
      <c r="N2" s="1" t="s">
        <v>166</v>
      </c>
      <c r="O2" s="1" t="s">
        <v>163</v>
      </c>
      <c r="P2" s="1" t="s">
        <v>63</v>
      </c>
      <c r="Q2" s="1" t="s">
        <v>64</v>
      </c>
      <c r="R2" s="1" t="s">
        <v>70</v>
      </c>
      <c r="S2" s="1" t="s">
        <v>71</v>
      </c>
      <c r="T2" s="34" t="s">
        <v>145</v>
      </c>
      <c r="V2" s="1"/>
      <c r="W2" s="1" t="s">
        <v>166</v>
      </c>
      <c r="X2" s="1" t="s">
        <v>163</v>
      </c>
      <c r="Y2" s="1" t="s">
        <v>63</v>
      </c>
      <c r="Z2" s="1" t="s">
        <v>64</v>
      </c>
      <c r="AA2" s="1" t="s">
        <v>70</v>
      </c>
      <c r="AB2" s="1" t="s">
        <v>71</v>
      </c>
      <c r="AC2" s="1" t="s">
        <v>74</v>
      </c>
      <c r="AD2" s="1" t="s">
        <v>75</v>
      </c>
      <c r="AE2" s="1" t="s">
        <v>166</v>
      </c>
      <c r="AF2" s="1" t="s">
        <v>163</v>
      </c>
      <c r="AG2" s="1" t="s">
        <v>63</v>
      </c>
      <c r="AH2" s="1" t="s">
        <v>64</v>
      </c>
      <c r="AI2" s="1" t="s">
        <v>70</v>
      </c>
      <c r="AJ2" s="1" t="s">
        <v>71</v>
      </c>
      <c r="AL2" s="1" t="s">
        <v>172</v>
      </c>
      <c r="AM2" s="1"/>
      <c r="AN2" s="1" t="s">
        <v>145</v>
      </c>
      <c r="AO2" s="1" t="s">
        <v>166</v>
      </c>
      <c r="AP2" s="1" t="s">
        <v>163</v>
      </c>
      <c r="AQ2" s="1" t="s">
        <v>64</v>
      </c>
      <c r="AR2" s="1" t="s">
        <v>70</v>
      </c>
      <c r="AS2" s="1" t="s">
        <v>71</v>
      </c>
      <c r="AT2" s="1" t="s">
        <v>63</v>
      </c>
      <c r="AV2" s="1"/>
      <c r="AW2" s="1" t="s">
        <v>175</v>
      </c>
      <c r="AX2" s="1" t="s">
        <v>176</v>
      </c>
      <c r="AY2" s="1" t="s">
        <v>143</v>
      </c>
      <c r="AZ2" s="1" t="s">
        <v>177</v>
      </c>
      <c r="BA2" s="1" t="s">
        <v>178</v>
      </c>
      <c r="BB2" s="1" t="s">
        <v>179</v>
      </c>
      <c r="BC2" s="1" t="s">
        <v>181</v>
      </c>
      <c r="BD2" s="1" t="s">
        <v>182</v>
      </c>
      <c r="BF2" s="1"/>
      <c r="BG2" s="34" t="s">
        <v>175</v>
      </c>
      <c r="BH2" s="34" t="s">
        <v>143</v>
      </c>
      <c r="BI2" s="34" t="s">
        <v>178</v>
      </c>
      <c r="BJ2" s="34" t="s">
        <v>186</v>
      </c>
      <c r="BK2" s="34" t="s">
        <v>176</v>
      </c>
      <c r="BL2" s="34" t="s">
        <v>188</v>
      </c>
      <c r="BM2" s="34" t="s">
        <v>177</v>
      </c>
      <c r="BN2" s="34" t="s">
        <v>189</v>
      </c>
      <c r="BO2" s="34" t="s">
        <v>190</v>
      </c>
      <c r="BP2" s="34" t="s">
        <v>175</v>
      </c>
      <c r="BQ2" s="34" t="s">
        <v>143</v>
      </c>
      <c r="BR2" s="34" t="s">
        <v>178</v>
      </c>
      <c r="BS2" s="34" t="s">
        <v>175</v>
      </c>
      <c r="BT2" s="34" t="s">
        <v>143</v>
      </c>
      <c r="BU2" s="34" t="s">
        <v>178</v>
      </c>
    </row>
    <row r="3" spans="1:73" x14ac:dyDescent="0.2">
      <c r="A3" s="9" t="s">
        <v>45</v>
      </c>
      <c r="B3" s="7">
        <v>0.17</v>
      </c>
      <c r="C3" s="10">
        <v>0.28000000000000003</v>
      </c>
      <c r="E3" s="10">
        <v>0.04</v>
      </c>
      <c r="F3" s="10">
        <v>0.33</v>
      </c>
      <c r="G3" s="10">
        <v>0.2</v>
      </c>
      <c r="H3" s="10">
        <v>0.09</v>
      </c>
      <c r="I3" s="10">
        <v>0.04</v>
      </c>
      <c r="J3" s="10">
        <v>0.05</v>
      </c>
      <c r="K3" s="10">
        <v>0.36</v>
      </c>
      <c r="M3" s="1" t="s">
        <v>72</v>
      </c>
      <c r="N3" s="6">
        <v>21150689</v>
      </c>
      <c r="O3" s="6">
        <v>861923</v>
      </c>
      <c r="P3" s="6">
        <v>22012612</v>
      </c>
      <c r="Q3" s="6">
        <v>449917.20222298085</v>
      </c>
      <c r="R3" s="6">
        <v>203701.53476075461</v>
      </c>
      <c r="S3" s="6">
        <v>43041.716724914309</v>
      </c>
      <c r="T3" s="6">
        <f>+SUM(P3:S3)</f>
        <v>22709272.453708649</v>
      </c>
      <c r="V3" s="1" t="s">
        <v>72</v>
      </c>
      <c r="W3" s="6">
        <f>+N3*$E$17</f>
        <v>74732434.466666669</v>
      </c>
      <c r="X3" s="6">
        <f>+O3*$E$18</f>
        <v>2183538.2666666666</v>
      </c>
      <c r="Y3" s="36">
        <f>+P3*$E$19</f>
        <v>67505343.466666669</v>
      </c>
      <c r="Z3" s="6">
        <f>+Q3*$E$20</f>
        <v>2351567.2436187798</v>
      </c>
      <c r="AA3" s="6">
        <f>+R3*$E$25</f>
        <v>1691401.7436301324</v>
      </c>
      <c r="AB3" s="6">
        <f>+S3*$E$24</f>
        <v>627117.81268200162</v>
      </c>
      <c r="AC3" s="6">
        <f>+SUM(W3:X3,Z3:AB3)</f>
        <v>81586059.53326425</v>
      </c>
      <c r="AD3" s="37">
        <v>19483200</v>
      </c>
      <c r="AE3" s="6">
        <f t="shared" ref="AE3:AE30" si="0">+W3*$AD3/$AC3</f>
        <v>17846516.617306527</v>
      </c>
      <c r="AF3" s="6">
        <f t="shared" ref="AF3:AF30" si="1">+X3*$AD3/$AC3</f>
        <v>521440.954502462</v>
      </c>
      <c r="AG3" s="36">
        <f t="shared" ref="AG3:AG30" si="2">+Y3*$AD3/$AC3</f>
        <v>16120647.514463164</v>
      </c>
      <c r="AH3" s="6">
        <f t="shared" ref="AH3:AH30" si="3">+Z3*$AD3/$AC3</f>
        <v>561567.19889374368</v>
      </c>
      <c r="AI3" s="6">
        <f t="shared" ref="AI3:AI30" si="4">+AA3*$AD3/$AC3</f>
        <v>403916.04448133236</v>
      </c>
      <c r="AJ3" s="6">
        <f t="shared" ref="AJ3:AJ30" si="5">+AB3*$AD3/$AC3</f>
        <v>149759.18481593474</v>
      </c>
      <c r="AL3" s="6">
        <f>+SUM('Firms Agri Trade Restaurants'!M4,'Firms Agri Trade Restaurants'!O4,'Firms Agri Trade Restaurants'!Q4)</f>
        <v>6868800</v>
      </c>
      <c r="AM3" s="1" t="s">
        <v>72</v>
      </c>
      <c r="AN3" s="6">
        <f>+AD3-AL3</f>
        <v>12614400</v>
      </c>
      <c r="AO3" s="6">
        <f t="shared" ref="AO3:AO30" si="6">+AE3*$AN3/$AD3</f>
        <v>11554729.162424624</v>
      </c>
      <c r="AP3" s="6">
        <f t="shared" ref="AP3:AP30" si="7">+AF3*$AN3/$AD3</f>
        <v>337607.00380203745</v>
      </c>
      <c r="AQ3" s="6">
        <f t="shared" ref="AQ3:AQ30" si="8">+AH3*$AN3/$AD3</f>
        <v>363586.74518175866</v>
      </c>
      <c r="AR3" s="6">
        <f t="shared" ref="AR3:AR30" si="9">+AI3*$AN3/$AD3</f>
        <v>261515.48777948794</v>
      </c>
      <c r="AS3" s="6">
        <f t="shared" ref="AS3:AS30" si="10">+AJ3*$AN3/$AD3</f>
        <v>96961.600812090779</v>
      </c>
      <c r="AT3" s="36">
        <f t="shared" ref="AT3:AT30" si="11">+AG3*$AN3/$AD3</f>
        <v>10437315.020450652</v>
      </c>
      <c r="AV3" s="1" t="s">
        <v>72</v>
      </c>
      <c r="AW3" s="6">
        <f>+SUM(AW4:AW30)</f>
        <v>10282700</v>
      </c>
      <c r="AX3" s="6">
        <f>+AW3*BD3/BC3</f>
        <v>198571.25671865809</v>
      </c>
      <c r="AY3" s="6">
        <f>+'Firms Agri Trade Restaurants'!AC4</f>
        <v>5771445</v>
      </c>
      <c r="AZ3" s="6">
        <f>+AY3-'Firms Agri Trade Restaurants'!Z4</f>
        <v>361374</v>
      </c>
      <c r="BA3" s="6">
        <f>+'Firms Agri Trade Restaurants'!AG4</f>
        <v>1863325</v>
      </c>
      <c r="BB3" s="6">
        <f>+BA3-'Firms Agri Trade Restaurants'!AD5</f>
        <v>1823549</v>
      </c>
      <c r="BC3" s="6">
        <f>+SUM(BC4:BC30)</f>
        <v>9860600</v>
      </c>
      <c r="BD3" s="6">
        <f>+SUM(BD4:BD30)</f>
        <v>190420</v>
      </c>
      <c r="BF3" s="1" t="s">
        <v>72</v>
      </c>
      <c r="BG3" s="6">
        <f>+'Firms Agri Trade Restaurants'!N4</f>
        <v>525690</v>
      </c>
      <c r="BH3" s="6">
        <f>+'Firms Agri Trade Restaurants'!P4</f>
        <v>152058</v>
      </c>
      <c r="BI3" s="6">
        <f>+'Firms Agri Trade Restaurants'!R4</f>
        <v>7028</v>
      </c>
      <c r="BJ3" s="6"/>
      <c r="BK3" s="6"/>
      <c r="BL3" s="6"/>
      <c r="BM3" s="6"/>
      <c r="BN3" s="6"/>
      <c r="BO3" s="6"/>
      <c r="BP3" s="6">
        <f>+SUM(BP4:BP30)</f>
        <v>507366.81377191248</v>
      </c>
      <c r="BQ3" s="6">
        <f t="shared" ref="BQ3:BU3" si="12">+SUM(BQ4:BQ30)</f>
        <v>135172.87678837311</v>
      </c>
      <c r="BR3" s="6">
        <f t="shared" si="12"/>
        <v>5753.3772196978452</v>
      </c>
      <c r="BS3" s="6">
        <f t="shared" si="12"/>
        <v>18323.186228087459</v>
      </c>
      <c r="BT3" s="6">
        <f t="shared" si="12"/>
        <v>16885.123211626928</v>
      </c>
      <c r="BU3" s="6">
        <f t="shared" si="12"/>
        <v>1274.622780302155</v>
      </c>
    </row>
    <row r="4" spans="1:73" x14ac:dyDescent="0.2">
      <c r="A4" s="9" t="s">
        <v>46</v>
      </c>
      <c r="B4" s="7">
        <v>0.15</v>
      </c>
      <c r="C4" s="10">
        <v>0.42</v>
      </c>
      <c r="E4" s="10">
        <v>0.05</v>
      </c>
      <c r="F4" s="10">
        <v>0.3</v>
      </c>
      <c r="G4" s="10">
        <v>0.23</v>
      </c>
      <c r="H4" s="10">
        <v>0.02</v>
      </c>
      <c r="I4" s="10">
        <v>0.01</v>
      </c>
      <c r="J4" s="10">
        <v>0.06</v>
      </c>
      <c r="K4" s="10">
        <v>0.46</v>
      </c>
      <c r="M4" s="1" t="s">
        <v>0</v>
      </c>
      <c r="N4" s="6">
        <v>274768</v>
      </c>
      <c r="O4" s="6">
        <v>23191</v>
      </c>
      <c r="P4" s="6">
        <v>297959</v>
      </c>
      <c r="Q4" s="6">
        <v>12156</v>
      </c>
      <c r="R4" s="6">
        <v>5263</v>
      </c>
      <c r="S4" s="6">
        <v>1184</v>
      </c>
      <c r="T4" s="6">
        <f>+SUM(P4:S4)</f>
        <v>316562</v>
      </c>
      <c r="V4" s="1" t="s">
        <v>0</v>
      </c>
      <c r="W4" s="6">
        <f>+N4*$E$17</f>
        <v>970846.93333333335</v>
      </c>
      <c r="X4" s="6">
        <f>+O4*$E$18</f>
        <v>58750.533333333333</v>
      </c>
      <c r="Y4" s="36">
        <f t="shared" ref="Y4:Y30" si="13">+P4*$E$19</f>
        <v>913740.93333333335</v>
      </c>
      <c r="Z4" s="6">
        <f t="shared" ref="Z4:Z30" si="14">+Q4*$E$20</f>
        <v>63535.360000000001</v>
      </c>
      <c r="AA4" s="6">
        <f t="shared" ref="AA4:AA30" si="15">+R4*$E$25</f>
        <v>43700.443333333329</v>
      </c>
      <c r="AB4" s="6">
        <f t="shared" ref="AB4:AB30" si="16">+S4*$E$24</f>
        <v>17250.88</v>
      </c>
      <c r="AC4" s="6">
        <f>+SUM(W4:X4,Z4:AB4)</f>
        <v>1154084.1499999999</v>
      </c>
      <c r="AD4" s="37">
        <v>269700</v>
      </c>
      <c r="AE4" s="6">
        <f t="shared" si="0"/>
        <v>226878.9653856697</v>
      </c>
      <c r="AF4" s="6">
        <f t="shared" si="1"/>
        <v>13729.517765234019</v>
      </c>
      <c r="AG4" s="36">
        <f t="shared" si="2"/>
        <v>213533.76157189233</v>
      </c>
      <c r="AH4" s="6">
        <f t="shared" si="3"/>
        <v>14847.692511850199</v>
      </c>
      <c r="AI4" s="6">
        <f t="shared" si="4"/>
        <v>10212.435173812932</v>
      </c>
      <c r="AJ4" s="6">
        <f t="shared" si="5"/>
        <v>4031.3891634331867</v>
      </c>
      <c r="AL4" s="6">
        <f>+SUM('Firms Agri Trade Restaurants'!M5,'Firms Agri Trade Restaurants'!O5,'Firms Agri Trade Restaurants'!Q5)</f>
        <v>94500</v>
      </c>
      <c r="AM4" s="1" t="s">
        <v>0</v>
      </c>
      <c r="AN4" s="6">
        <f t="shared" ref="AN4:AN30" si="17">+AD4-AL4</f>
        <v>175200</v>
      </c>
      <c r="AO4" s="6">
        <f>+AE4*$AN4/$AD4</f>
        <v>147382.9986487554</v>
      </c>
      <c r="AP4" s="6">
        <f t="shared" si="7"/>
        <v>8918.8413513867272</v>
      </c>
      <c r="AQ4" s="6">
        <f t="shared" si="8"/>
        <v>9645.2196072530769</v>
      </c>
      <c r="AR4" s="6">
        <f t="shared" si="9"/>
        <v>6634.106942721638</v>
      </c>
      <c r="AS4" s="6">
        <f t="shared" si="10"/>
        <v>2618.8334498831823</v>
      </c>
      <c r="AT4" s="36">
        <f t="shared" si="11"/>
        <v>138713.81174414363</v>
      </c>
      <c r="AV4" s="1" t="s">
        <v>0</v>
      </c>
      <c r="AW4" s="6">
        <f>+'Firms Agri Trade Restaurants'!C5</f>
        <v>132500</v>
      </c>
      <c r="AX4" s="6">
        <f t="shared" ref="AX4:AX30" si="18">+AW4*BD4/BC4</f>
        <v>2508.4446190102121</v>
      </c>
      <c r="AY4" s="6">
        <f>+'Firms Agri Trade Restaurants'!AC5</f>
        <v>75771</v>
      </c>
      <c r="AZ4" s="6">
        <f>+AY4-'Firms Agri Trade Restaurants'!Z5</f>
        <v>9553</v>
      </c>
      <c r="BA4" s="6">
        <f>+'Firms Agri Trade Restaurants'!AG5</f>
        <v>46724</v>
      </c>
      <c r="BB4" s="6">
        <f>+BA4-'Firms Agri Trade Restaurants'!AD5</f>
        <v>6948</v>
      </c>
      <c r="BC4" s="6">
        <v>127300</v>
      </c>
      <c r="BD4" s="6">
        <v>2410</v>
      </c>
      <c r="BF4" s="1" t="s">
        <v>0</v>
      </c>
      <c r="BG4" s="6">
        <f>+'Firms Agri Trade Restaurants'!N5</f>
        <v>0</v>
      </c>
      <c r="BH4" s="6">
        <f>+'Firms Agri Trade Restaurants'!P5</f>
        <v>0</v>
      </c>
      <c r="BI4" s="6">
        <f>+'Firms Agri Trade Restaurants'!R5</f>
        <v>0</v>
      </c>
      <c r="BJ4" s="6">
        <f t="shared" ref="BJ4:BJ7" si="19">+(AW4-AX4)*$E$17</f>
        <v>459303.49567949719</v>
      </c>
      <c r="BK4" s="6">
        <f t="shared" ref="BK4:BK7" si="20">+AX4*$E$27</f>
        <v>21714.768918565067</v>
      </c>
      <c r="BL4" s="6">
        <f>+(AY4-AZ4)*$E$17</f>
        <v>233970.26666666666</v>
      </c>
      <c r="BM4" s="6">
        <f>+AZ4*$E$27</f>
        <v>82697.136666666658</v>
      </c>
      <c r="BN4" s="6">
        <f>+(BA4-BB4)*$E$17</f>
        <v>140541.86666666667</v>
      </c>
      <c r="BO4" s="6">
        <f>+BB4*$E$27</f>
        <v>60146.52</v>
      </c>
      <c r="BP4" s="6">
        <f>+BG4*BJ4/SUM(BJ4:BK4)</f>
        <v>0</v>
      </c>
      <c r="BQ4" s="6">
        <f>+BH4*BL4/SUM(BL4:BM4)</f>
        <v>0</v>
      </c>
      <c r="BR4" s="6">
        <f>+BI4*BN4/SUM(BN4:BO4)</f>
        <v>0</v>
      </c>
      <c r="BS4" s="6">
        <f t="shared" ref="BS4:BS12" si="21">+BG4*BK4/SUM(BJ4:BK4)</f>
        <v>0</v>
      </c>
      <c r="BT4" s="6">
        <f>+BH4*BM4/SUM(BL4:BM4)</f>
        <v>0</v>
      </c>
      <c r="BU4" s="6">
        <f t="shared" ref="BU4:BU18" si="22">+BI4*BO4/SUM(BN4:BO4)</f>
        <v>0</v>
      </c>
    </row>
    <row r="5" spans="1:73" x14ac:dyDescent="0.2">
      <c r="A5" s="9" t="s">
        <v>47</v>
      </c>
      <c r="B5" s="7">
        <v>7.0000000000000007E-2</v>
      </c>
      <c r="C5" s="10">
        <v>0.55000000000000004</v>
      </c>
      <c r="E5" s="10">
        <v>0.09</v>
      </c>
      <c r="F5" s="10">
        <v>0.28999999999999998</v>
      </c>
      <c r="G5" s="10">
        <v>0.11</v>
      </c>
      <c r="H5" s="10">
        <v>0.1</v>
      </c>
      <c r="I5" s="10">
        <v>0.09</v>
      </c>
      <c r="J5" s="10">
        <v>0.11</v>
      </c>
      <c r="K5" s="10">
        <v>0.36</v>
      </c>
      <c r="M5" s="1" t="s">
        <v>1</v>
      </c>
      <c r="N5" s="6">
        <v>602283</v>
      </c>
      <c r="O5" s="6">
        <v>17101</v>
      </c>
      <c r="P5" s="6">
        <v>619384</v>
      </c>
      <c r="Q5" s="6">
        <v>9490</v>
      </c>
      <c r="R5" s="6">
        <v>4122</v>
      </c>
      <c r="S5" s="6">
        <v>986</v>
      </c>
      <c r="T5" s="6">
        <f t="shared" ref="T5:T30" si="23">+SUM(P5:S5)</f>
        <v>633982</v>
      </c>
      <c r="V5" s="1" t="s">
        <v>1</v>
      </c>
      <c r="W5" s="6">
        <f t="shared" ref="W5:W30" si="24">+N5*$E$17</f>
        <v>2128066.6</v>
      </c>
      <c r="X5" s="6">
        <f t="shared" ref="X5:X30" si="25">+O5*$E$18</f>
        <v>43322.533333333333</v>
      </c>
      <c r="Y5" s="36">
        <f t="shared" si="13"/>
        <v>1899444.2666666668</v>
      </c>
      <c r="Z5" s="6">
        <f t="shared" si="14"/>
        <v>49601.066666666666</v>
      </c>
      <c r="AA5" s="6">
        <f t="shared" si="15"/>
        <v>34226.339999999997</v>
      </c>
      <c r="AB5" s="6">
        <f t="shared" si="16"/>
        <v>14366.020000000002</v>
      </c>
      <c r="AC5" s="6">
        <f t="shared" ref="AC5:AC30" si="26">+SUM(W5:X5,Z5:AB5)</f>
        <v>2269582.56</v>
      </c>
      <c r="AD5" s="37">
        <v>467600</v>
      </c>
      <c r="AE5" s="6">
        <f t="shared" si="0"/>
        <v>438443.59738118539</v>
      </c>
      <c r="AF5" s="6">
        <f t="shared" si="1"/>
        <v>8925.7015557374871</v>
      </c>
      <c r="AG5" s="36">
        <f t="shared" si="2"/>
        <v>391340.74906415096</v>
      </c>
      <c r="AH5" s="6">
        <f t="shared" si="3"/>
        <v>10219.261983284419</v>
      </c>
      <c r="AI5" s="6">
        <f t="shared" si="4"/>
        <v>7051.6212391057488</v>
      </c>
      <c r="AJ5" s="6">
        <f t="shared" si="5"/>
        <v>2959.8178406869679</v>
      </c>
      <c r="AL5" s="6">
        <f>+SUM('Firms Agri Trade Restaurants'!M6,'Firms Agri Trade Restaurants'!O6,'Firms Agri Trade Restaurants'!Q6)</f>
        <v>101400</v>
      </c>
      <c r="AM5" s="1" t="s">
        <v>1</v>
      </c>
      <c r="AN5" s="6">
        <f t="shared" si="17"/>
        <v>366200</v>
      </c>
      <c r="AO5" s="6">
        <f t="shared" si="6"/>
        <v>343366.22190117638</v>
      </c>
      <c r="AP5" s="6">
        <f t="shared" si="7"/>
        <v>6990.1452303487331</v>
      </c>
      <c r="AQ5" s="6">
        <f t="shared" si="8"/>
        <v>8003.1944787826224</v>
      </c>
      <c r="AR5" s="6">
        <f t="shared" si="9"/>
        <v>5522.4629977770001</v>
      </c>
      <c r="AS5" s="6">
        <f t="shared" si="10"/>
        <v>2317.9753919152431</v>
      </c>
      <c r="AT5" s="36">
        <f t="shared" si="11"/>
        <v>306477.72093090694</v>
      </c>
      <c r="AV5" s="1" t="s">
        <v>1</v>
      </c>
      <c r="AW5" s="6">
        <f>+'Firms Agri Trade Restaurants'!C6</f>
        <v>36890</v>
      </c>
      <c r="AX5" s="6">
        <f t="shared" si="18"/>
        <v>9856.3794772507263</v>
      </c>
      <c r="AY5" s="6">
        <f>+'Firms Agri Trade Restaurants'!AC6</f>
        <v>141124</v>
      </c>
      <c r="AZ5" s="6">
        <f>+AY5-'Firms Agri Trade Restaurants'!Z6</f>
        <v>9282</v>
      </c>
      <c r="BA5" s="6">
        <f>+'Firms Agri Trade Restaurants'!AG6</f>
        <v>51249</v>
      </c>
      <c r="BB5" s="6">
        <f>+BA5-'Firms Agri Trade Restaurants'!AD6</f>
        <v>3102</v>
      </c>
      <c r="BC5" s="6">
        <v>30990</v>
      </c>
      <c r="BD5" s="6">
        <v>8280</v>
      </c>
      <c r="BF5" s="1" t="s">
        <v>1</v>
      </c>
      <c r="BG5" s="6">
        <f>+'Firms Agri Trade Restaurants'!N6</f>
        <v>0</v>
      </c>
      <c r="BH5" s="6">
        <f>+'Firms Agri Trade Restaurants'!P6</f>
        <v>0</v>
      </c>
      <c r="BI5" s="6">
        <f>+'Firms Agri Trade Restaurants'!R6</f>
        <v>0</v>
      </c>
      <c r="BJ5" s="6">
        <f t="shared" si="19"/>
        <v>95518.792513714099</v>
      </c>
      <c r="BK5" s="6">
        <f t="shared" si="20"/>
        <v>85323.391674733779</v>
      </c>
      <c r="BL5" s="6">
        <f t="shared" ref="BL5:BL30" si="27">+(AY5-AZ5)*$E$17</f>
        <v>465841.73333333334</v>
      </c>
      <c r="BM5" s="6">
        <f t="shared" ref="BM5:BM30" si="28">+AZ5*$E$27</f>
        <v>80351.179999999993</v>
      </c>
      <c r="BN5" s="6">
        <f t="shared" ref="BN5:BN30" si="29">+(BA5-BB5)*$E$17</f>
        <v>170119.4</v>
      </c>
      <c r="BO5" s="6">
        <f t="shared" ref="BO5:BO30" si="30">+BB5*$E$27</f>
        <v>26852.98</v>
      </c>
      <c r="BP5" s="6">
        <f t="shared" ref="BP5:BP30" si="31">+BG5*BJ5/SUM(BJ5:BK5)</f>
        <v>0</v>
      </c>
      <c r="BQ5" s="6">
        <f t="shared" ref="BQ5:BQ30" si="32">+BH5*BL5/SUM(BL5:BM5)</f>
        <v>0</v>
      </c>
      <c r="BR5" s="6">
        <f t="shared" ref="BR5:BR30" si="33">+BI5*BN5/SUM(BN5:BO5)</f>
        <v>0</v>
      </c>
      <c r="BS5" s="6">
        <f t="shared" si="21"/>
        <v>0</v>
      </c>
      <c r="BT5" s="6">
        <f t="shared" ref="BT5:BT30" si="34">+BH5*BM5/SUM(BL5:BM5)</f>
        <v>0</v>
      </c>
      <c r="BU5" s="6">
        <f t="shared" si="22"/>
        <v>0</v>
      </c>
    </row>
    <row r="6" spans="1:73" x14ac:dyDescent="0.2">
      <c r="A6" s="11" t="s">
        <v>48</v>
      </c>
      <c r="M6" s="1" t="s">
        <v>2</v>
      </c>
      <c r="N6" s="6">
        <v>315666</v>
      </c>
      <c r="O6" s="6">
        <v>14127</v>
      </c>
      <c r="P6" s="6">
        <v>329793</v>
      </c>
      <c r="Q6" s="6">
        <v>8955</v>
      </c>
      <c r="R6" s="6">
        <v>4331</v>
      </c>
      <c r="S6" s="6">
        <v>690</v>
      </c>
      <c r="T6" s="6">
        <f t="shared" si="23"/>
        <v>343769</v>
      </c>
      <c r="V6" s="1" t="s">
        <v>2</v>
      </c>
      <c r="W6" s="6">
        <f t="shared" si="24"/>
        <v>1115353.2</v>
      </c>
      <c r="X6" s="6">
        <f t="shared" si="25"/>
        <v>35788.400000000001</v>
      </c>
      <c r="Y6" s="36">
        <f t="shared" si="13"/>
        <v>1011365.2000000001</v>
      </c>
      <c r="Z6" s="6">
        <f t="shared" si="14"/>
        <v>46804.799999999996</v>
      </c>
      <c r="AA6" s="6">
        <f t="shared" si="15"/>
        <v>35961.736666666664</v>
      </c>
      <c r="AB6" s="6">
        <f t="shared" si="16"/>
        <v>10053.300000000001</v>
      </c>
      <c r="AC6" s="6">
        <f t="shared" si="26"/>
        <v>1243961.4366666665</v>
      </c>
      <c r="AD6" s="37">
        <v>214200</v>
      </c>
      <c r="AE6" s="6">
        <f t="shared" si="0"/>
        <v>192054.71198543132</v>
      </c>
      <c r="AF6" s="6">
        <f t="shared" si="1"/>
        <v>6162.4701972607509</v>
      </c>
      <c r="AG6" s="36">
        <f t="shared" si="2"/>
        <v>174148.8276521627</v>
      </c>
      <c r="AH6" s="6">
        <f t="shared" si="3"/>
        <v>8059.4043066678032</v>
      </c>
      <c r="AI6" s="6">
        <f t="shared" si="4"/>
        <v>6192.3173556256352</v>
      </c>
      <c r="AJ6" s="6">
        <f t="shared" si="5"/>
        <v>1731.0961550145162</v>
      </c>
      <c r="AL6" s="6">
        <f>+SUM('Firms Agri Trade Restaurants'!M7,'Firms Agri Trade Restaurants'!O7,'Firms Agri Trade Restaurants'!Q7)</f>
        <v>101800</v>
      </c>
      <c r="AM6" s="1" t="s">
        <v>2</v>
      </c>
      <c r="AN6" s="6">
        <f t="shared" si="17"/>
        <v>112400</v>
      </c>
      <c r="AO6" s="6">
        <f t="shared" si="6"/>
        <v>100779.41002410121</v>
      </c>
      <c r="AP6" s="6">
        <f t="shared" si="7"/>
        <v>3233.7145199444835</v>
      </c>
      <c r="AQ6" s="6">
        <f t="shared" si="8"/>
        <v>4229.1178527986049</v>
      </c>
      <c r="AR6" s="6">
        <f t="shared" si="9"/>
        <v>3249.3766142498662</v>
      </c>
      <c r="AS6" s="6">
        <f t="shared" si="10"/>
        <v>908.3809889058432</v>
      </c>
      <c r="AT6" s="36">
        <f t="shared" si="11"/>
        <v>91383.418431853817</v>
      </c>
      <c r="AV6" s="1" t="s">
        <v>2</v>
      </c>
      <c r="AW6" s="6">
        <f>+'Firms Agri Trade Restaurants'!C7</f>
        <v>202720</v>
      </c>
      <c r="AX6" s="6">
        <f t="shared" si="18"/>
        <v>997.99968907084008</v>
      </c>
      <c r="AY6" s="6">
        <f>+'Firms Agri Trade Restaurants'!AC7</f>
        <v>141512</v>
      </c>
      <c r="AZ6" s="6">
        <f>+AY6-'Firms Agri Trade Restaurants'!Z7</f>
        <v>7560</v>
      </c>
      <c r="BA6" s="6">
        <f>+'Firms Agri Trade Restaurants'!AG7</f>
        <v>27082</v>
      </c>
      <c r="BB6" s="6">
        <f>+BA6-'Firms Agri Trade Restaurants'!AD7</f>
        <v>2981</v>
      </c>
      <c r="BC6" s="6">
        <v>192970</v>
      </c>
      <c r="BD6" s="6">
        <v>950</v>
      </c>
      <c r="BF6" s="1" t="s">
        <v>2</v>
      </c>
      <c r="BG6" s="6">
        <f>+'Firms Agri Trade Restaurants'!N7</f>
        <v>0</v>
      </c>
      <c r="BH6" s="6">
        <f>+'Firms Agri Trade Restaurants'!P7</f>
        <v>0</v>
      </c>
      <c r="BI6" s="6">
        <f>+'Firms Agri Trade Restaurants'!R7</f>
        <v>0</v>
      </c>
      <c r="BJ6" s="6">
        <f t="shared" si="19"/>
        <v>712751.06776528305</v>
      </c>
      <c r="BK6" s="6">
        <f t="shared" si="20"/>
        <v>8639.3506417232384</v>
      </c>
      <c r="BL6" s="6">
        <f t="shared" si="27"/>
        <v>473297.06666666665</v>
      </c>
      <c r="BM6" s="6">
        <f t="shared" si="28"/>
        <v>65444.399999999994</v>
      </c>
      <c r="BN6" s="6">
        <f t="shared" si="29"/>
        <v>85156.866666666669</v>
      </c>
      <c r="BO6" s="6">
        <f t="shared" si="30"/>
        <v>25805.523333333331</v>
      </c>
      <c r="BP6" s="6">
        <f t="shared" si="31"/>
        <v>0</v>
      </c>
      <c r="BQ6" s="6">
        <f t="shared" si="32"/>
        <v>0</v>
      </c>
      <c r="BR6" s="6">
        <f t="shared" si="33"/>
        <v>0</v>
      </c>
      <c r="BS6" s="6">
        <f t="shared" si="21"/>
        <v>0</v>
      </c>
      <c r="BT6" s="6">
        <f t="shared" si="34"/>
        <v>0</v>
      </c>
      <c r="BU6" s="6">
        <f t="shared" si="22"/>
        <v>0</v>
      </c>
    </row>
    <row r="7" spans="1:73" x14ac:dyDescent="0.2">
      <c r="M7" s="1" t="s">
        <v>3</v>
      </c>
      <c r="N7" s="6">
        <v>50940</v>
      </c>
      <c r="O7" s="6">
        <v>2469</v>
      </c>
      <c r="P7" s="6">
        <v>53409</v>
      </c>
      <c r="Q7" s="6">
        <v>1213.2862458385014</v>
      </c>
      <c r="R7" s="6">
        <v>634.53476075461845</v>
      </c>
      <c r="S7" s="6">
        <v>81</v>
      </c>
      <c r="T7" s="6">
        <f t="shared" si="23"/>
        <v>55337.82100659312</v>
      </c>
      <c r="V7" s="1" t="s">
        <v>3</v>
      </c>
      <c r="W7" s="6">
        <f t="shared" si="24"/>
        <v>179988</v>
      </c>
      <c r="X7" s="6">
        <f t="shared" si="25"/>
        <v>6254.7999999999993</v>
      </c>
      <c r="Y7" s="36">
        <f t="shared" si="13"/>
        <v>163787.6</v>
      </c>
      <c r="Z7" s="6">
        <f t="shared" si="14"/>
        <v>6341.4427782492339</v>
      </c>
      <c r="AA7" s="6">
        <f t="shared" si="15"/>
        <v>5268.7536301325144</v>
      </c>
      <c r="AB7" s="6">
        <f t="shared" si="16"/>
        <v>1180.17</v>
      </c>
      <c r="AC7" s="6">
        <f t="shared" si="26"/>
        <v>199033.16640838174</v>
      </c>
      <c r="AD7" s="37">
        <v>44500</v>
      </c>
      <c r="AE7" s="6">
        <f t="shared" si="0"/>
        <v>40241.865938895615</v>
      </c>
      <c r="AF7" s="6">
        <f t="shared" si="1"/>
        <v>1398.4533584161402</v>
      </c>
      <c r="AG7" s="36">
        <f t="shared" si="2"/>
        <v>36619.767104770646</v>
      </c>
      <c r="AH7" s="6">
        <f t="shared" si="3"/>
        <v>1417.8250224541828</v>
      </c>
      <c r="AI7" s="6">
        <f t="shared" si="4"/>
        <v>1177.9922953133666</v>
      </c>
      <c r="AJ7" s="6">
        <f t="shared" si="5"/>
        <v>263.86338492069711</v>
      </c>
      <c r="AL7" s="6">
        <f>+SUM('Firms Agri Trade Restaurants'!M8,'Firms Agri Trade Restaurants'!O8,'Firms Agri Trade Restaurants'!Q8)</f>
        <v>11300</v>
      </c>
      <c r="AM7" s="1" t="s">
        <v>3</v>
      </c>
      <c r="AN7" s="6">
        <f t="shared" si="17"/>
        <v>33200</v>
      </c>
      <c r="AO7" s="6">
        <f t="shared" si="6"/>
        <v>30023.144925198529</v>
      </c>
      <c r="AP7" s="6">
        <f t="shared" si="7"/>
        <v>1043.3404831329406</v>
      </c>
      <c r="AQ7" s="6">
        <f t="shared" si="8"/>
        <v>1057.7930504601993</v>
      </c>
      <c r="AR7" s="6">
        <f t="shared" si="9"/>
        <v>878.86166751469148</v>
      </c>
      <c r="AS7" s="6">
        <f t="shared" si="10"/>
        <v>196.85987369364369</v>
      </c>
      <c r="AT7" s="36">
        <f t="shared" si="11"/>
        <v>27320.815008503047</v>
      </c>
      <c r="AV7" s="1" t="s">
        <v>3</v>
      </c>
      <c r="AW7" s="6">
        <f>+'Firms Agri Trade Restaurants'!C8</f>
        <v>34940</v>
      </c>
      <c r="AX7" s="6">
        <f t="shared" si="18"/>
        <v>193.15100378236835</v>
      </c>
      <c r="AY7" s="6">
        <f>+'Firms Agri Trade Restaurants'!AC8</f>
        <v>16964</v>
      </c>
      <c r="AZ7" s="6">
        <f>+AY7-'Firms Agri Trade Restaurants'!Z8</f>
        <v>1143</v>
      </c>
      <c r="BA7" s="6">
        <f>+'Firms Agri Trade Restaurants'!AG8</f>
        <v>5827</v>
      </c>
      <c r="BB7" s="6">
        <f>+BA7-'Firms Agri Trade Restaurants'!AD8</f>
        <v>806</v>
      </c>
      <c r="BC7" s="6">
        <v>34370</v>
      </c>
      <c r="BD7" s="6">
        <v>190</v>
      </c>
      <c r="BF7" s="1" t="s">
        <v>3</v>
      </c>
      <c r="BG7" s="6">
        <f>+'Firms Agri Trade Restaurants'!N8</f>
        <v>0</v>
      </c>
      <c r="BH7" s="6">
        <f>+'Firms Agri Trade Restaurants'!P8</f>
        <v>0</v>
      </c>
      <c r="BI7" s="6">
        <f>+'Firms Agri Trade Restaurants'!R8</f>
        <v>0</v>
      </c>
      <c r="BJ7" s="6">
        <f t="shared" si="19"/>
        <v>122772.19978663563</v>
      </c>
      <c r="BK7" s="6">
        <f t="shared" si="20"/>
        <v>1672.0438560760354</v>
      </c>
      <c r="BL7" s="6">
        <f t="shared" si="27"/>
        <v>55900.866666666661</v>
      </c>
      <c r="BM7" s="6">
        <f t="shared" si="28"/>
        <v>9894.57</v>
      </c>
      <c r="BN7" s="6">
        <f t="shared" si="29"/>
        <v>17740.866666666665</v>
      </c>
      <c r="BO7" s="6">
        <f t="shared" si="30"/>
        <v>6977.2733333333326</v>
      </c>
      <c r="BP7" s="6">
        <f t="shared" si="31"/>
        <v>0</v>
      </c>
      <c r="BQ7" s="6">
        <f t="shared" si="32"/>
        <v>0</v>
      </c>
      <c r="BR7" s="6">
        <f t="shared" si="33"/>
        <v>0</v>
      </c>
      <c r="BS7" s="6">
        <f t="shared" si="21"/>
        <v>0</v>
      </c>
      <c r="BT7" s="6">
        <f t="shared" si="34"/>
        <v>0</v>
      </c>
      <c r="BU7" s="6">
        <f t="shared" si="22"/>
        <v>0</v>
      </c>
    </row>
    <row r="8" spans="1:73" x14ac:dyDescent="0.2">
      <c r="A8" s="11" t="s">
        <v>53</v>
      </c>
      <c r="M8" s="1" t="s">
        <v>4</v>
      </c>
      <c r="N8" s="6">
        <v>1001856</v>
      </c>
      <c r="O8" s="6">
        <v>19858</v>
      </c>
      <c r="P8" s="6">
        <v>1021714</v>
      </c>
      <c r="Q8" s="6">
        <v>12905</v>
      </c>
      <c r="R8" s="6">
        <v>7057</v>
      </c>
      <c r="S8" s="6">
        <v>1654</v>
      </c>
      <c r="T8" s="6">
        <f t="shared" si="23"/>
        <v>1043330</v>
      </c>
      <c r="V8" s="1" t="s">
        <v>4</v>
      </c>
      <c r="W8" s="6">
        <f t="shared" si="24"/>
        <v>3539891.1999999997</v>
      </c>
      <c r="X8" s="6">
        <f t="shared" si="25"/>
        <v>50306.933333333334</v>
      </c>
      <c r="Y8" s="36">
        <f t="shared" si="13"/>
        <v>3133256.2666666671</v>
      </c>
      <c r="Z8" s="6">
        <f t="shared" si="14"/>
        <v>67450.133333333331</v>
      </c>
      <c r="AA8" s="6">
        <f t="shared" si="15"/>
        <v>58596.623333333329</v>
      </c>
      <c r="AB8" s="6">
        <f t="shared" si="16"/>
        <v>24098.780000000002</v>
      </c>
      <c r="AC8" s="6">
        <f t="shared" si="26"/>
        <v>3740343.6699999995</v>
      </c>
      <c r="AD8" s="37">
        <v>699200</v>
      </c>
      <c r="AE8" s="6">
        <f t="shared" si="0"/>
        <v>661728.47882718768</v>
      </c>
      <c r="AF8" s="6">
        <f t="shared" si="1"/>
        <v>9404.1111967303987</v>
      </c>
      <c r="AG8" s="36">
        <f t="shared" si="2"/>
        <v>585714.30193026457</v>
      </c>
      <c r="AH8" s="6">
        <f t="shared" si="3"/>
        <v>12608.770045632376</v>
      </c>
      <c r="AI8" s="6">
        <f t="shared" si="4"/>
        <v>10953.7418615511</v>
      </c>
      <c r="AJ8" s="6">
        <f t="shared" si="5"/>
        <v>4504.8980688985739</v>
      </c>
      <c r="AL8" s="6">
        <f>+SUM('Firms Agri Trade Restaurants'!M9,'Firms Agri Trade Restaurants'!O9,'Firms Agri Trade Restaurants'!Q9)</f>
        <v>119000</v>
      </c>
      <c r="AM8" s="1" t="s">
        <v>4</v>
      </c>
      <c r="AN8" s="6">
        <f t="shared" si="17"/>
        <v>580200</v>
      </c>
      <c r="AO8" s="6">
        <f t="shared" si="6"/>
        <v>549105.92593754909</v>
      </c>
      <c r="AP8" s="6">
        <f t="shared" si="7"/>
        <v>7803.5831183394985</v>
      </c>
      <c r="AQ8" s="6">
        <f t="shared" si="8"/>
        <v>10462.826631115424</v>
      </c>
      <c r="AR8" s="6">
        <f t="shared" si="9"/>
        <v>9089.4751545651434</v>
      </c>
      <c r="AS8" s="6">
        <f t="shared" si="10"/>
        <v>3738.1891584309965</v>
      </c>
      <c r="AT8" s="36">
        <f t="shared" si="11"/>
        <v>486028.94447931851</v>
      </c>
      <c r="AV8" s="1" t="s">
        <v>4</v>
      </c>
      <c r="AW8" s="6">
        <f>+'Firms Agri Trade Restaurants'!C9</f>
        <v>26530</v>
      </c>
      <c r="AX8" s="6">
        <f t="shared" si="18"/>
        <v>1020.8208636169303</v>
      </c>
      <c r="AY8" s="6">
        <f>+'Firms Agri Trade Restaurants'!AC9</f>
        <v>225257</v>
      </c>
      <c r="AZ8" s="6">
        <f>+AY8-'Firms Agri Trade Restaurants'!Z9</f>
        <v>8738</v>
      </c>
      <c r="BA8" s="6">
        <f>+'Firms Agri Trade Restaurants'!AG9</f>
        <v>58840</v>
      </c>
      <c r="BB8" s="6">
        <f>+BA8-'Firms Agri Trade Restaurants'!AD9</f>
        <v>3326</v>
      </c>
      <c r="BC8" s="6">
        <v>23390</v>
      </c>
      <c r="BD8" s="6">
        <v>900</v>
      </c>
      <c r="BF8" s="1" t="s">
        <v>4</v>
      </c>
      <c r="BG8" s="6">
        <f>+'Firms Agri Trade Restaurants'!N9</f>
        <v>11190</v>
      </c>
      <c r="BH8" s="6">
        <f>+'Firms Agri Trade Restaurants'!P9</f>
        <v>0</v>
      </c>
      <c r="BI8" s="6">
        <f>+'Firms Agri Trade Restaurants'!R9</f>
        <v>0</v>
      </c>
      <c r="BJ8" s="6">
        <f>+(AW8-AX8)*$E$17</f>
        <v>90132.432948553513</v>
      </c>
      <c r="BK8" s="6">
        <f>+AX8*$E$27</f>
        <v>8836.9059427105603</v>
      </c>
      <c r="BL8" s="6">
        <f t="shared" si="27"/>
        <v>765033.79999999993</v>
      </c>
      <c r="BM8" s="6">
        <f t="shared" si="28"/>
        <v>75641.953333333324</v>
      </c>
      <c r="BN8" s="6">
        <f t="shared" si="29"/>
        <v>196149.46666666667</v>
      </c>
      <c r="BO8" s="6">
        <f t="shared" si="30"/>
        <v>28792.073333333334</v>
      </c>
      <c r="BP8" s="6">
        <f t="shared" si="31"/>
        <v>10190.852399271107</v>
      </c>
      <c r="BQ8" s="6">
        <f t="shared" si="32"/>
        <v>0</v>
      </c>
      <c r="BR8" s="6">
        <f t="shared" si="33"/>
        <v>0</v>
      </c>
      <c r="BS8" s="6">
        <f t="shared" si="21"/>
        <v>999.14760072889248</v>
      </c>
      <c r="BT8" s="6">
        <f t="shared" si="34"/>
        <v>0</v>
      </c>
      <c r="BU8" s="6">
        <f t="shared" si="22"/>
        <v>0</v>
      </c>
    </row>
    <row r="9" spans="1:73" x14ac:dyDescent="0.2">
      <c r="A9" s="9"/>
      <c r="B9" s="9">
        <v>2009</v>
      </c>
      <c r="C9" s="9">
        <v>2010</v>
      </c>
      <c r="M9" s="1" t="s">
        <v>5</v>
      </c>
      <c r="N9" s="6">
        <v>2164898</v>
      </c>
      <c r="O9" s="6">
        <v>245089</v>
      </c>
      <c r="P9" s="6">
        <v>2409987</v>
      </c>
      <c r="Q9" s="6">
        <v>123882</v>
      </c>
      <c r="R9" s="6">
        <v>55740</v>
      </c>
      <c r="S9" s="6">
        <v>11317</v>
      </c>
      <c r="T9" s="6">
        <f t="shared" si="23"/>
        <v>2600926</v>
      </c>
      <c r="V9" s="1" t="s">
        <v>5</v>
      </c>
      <c r="W9" s="6">
        <f t="shared" si="24"/>
        <v>7649306.2666666666</v>
      </c>
      <c r="X9" s="6">
        <f t="shared" si="25"/>
        <v>620892.1333333333</v>
      </c>
      <c r="Y9" s="36">
        <f t="shared" si="13"/>
        <v>7390626.8000000007</v>
      </c>
      <c r="Z9" s="6">
        <f t="shared" si="14"/>
        <v>647489.92000000004</v>
      </c>
      <c r="AA9" s="6">
        <f t="shared" si="15"/>
        <v>462827.8</v>
      </c>
      <c r="AB9" s="6">
        <f t="shared" si="16"/>
        <v>164888.69000000003</v>
      </c>
      <c r="AC9" s="6">
        <f t="shared" si="26"/>
        <v>9545404.8100000005</v>
      </c>
      <c r="AD9" s="37">
        <v>2102900</v>
      </c>
      <c r="AE9" s="6">
        <f t="shared" si="0"/>
        <v>1685180.0911912643</v>
      </c>
      <c r="AF9" s="6">
        <f t="shared" si="1"/>
        <v>136785.61498186126</v>
      </c>
      <c r="AG9" s="36">
        <f t="shared" si="2"/>
        <v>1628191.7223078988</v>
      </c>
      <c r="AH9" s="6">
        <f t="shared" si="3"/>
        <v>142645.23924030413</v>
      </c>
      <c r="AI9" s="6">
        <f t="shared" si="4"/>
        <v>101963.2587609451</v>
      </c>
      <c r="AJ9" s="6">
        <f t="shared" si="5"/>
        <v>36325.79582562513</v>
      </c>
      <c r="AL9" s="6">
        <f>+SUM('Firms Agri Trade Restaurants'!M10,'Firms Agri Trade Restaurants'!O10,'Firms Agri Trade Restaurants'!Q10)</f>
        <v>294100</v>
      </c>
      <c r="AM9" s="1" t="s">
        <v>5</v>
      </c>
      <c r="AN9" s="6">
        <f t="shared" si="17"/>
        <v>1808800</v>
      </c>
      <c r="AO9" s="6">
        <f t="shared" si="6"/>
        <v>1449500.0946059055</v>
      </c>
      <c r="AP9" s="6">
        <f t="shared" si="7"/>
        <v>117655.53301592593</v>
      </c>
      <c r="AQ9" s="6">
        <f t="shared" si="8"/>
        <v>122695.66253167631</v>
      </c>
      <c r="AR9" s="6">
        <f t="shared" si="9"/>
        <v>87703.239548622136</v>
      </c>
      <c r="AS9" s="6">
        <f t="shared" si="10"/>
        <v>31245.470297869957</v>
      </c>
      <c r="AT9" s="36">
        <f t="shared" si="11"/>
        <v>1400481.8047983868</v>
      </c>
      <c r="AV9" s="1" t="s">
        <v>5</v>
      </c>
      <c r="AW9" s="6">
        <f>+'Firms Agri Trade Restaurants'!C10</f>
        <v>276120</v>
      </c>
      <c r="AX9" s="6">
        <f t="shared" si="18"/>
        <v>50555.171267043566</v>
      </c>
      <c r="AY9" s="6">
        <f>+'Firms Agri Trade Restaurants'!AC10</f>
        <v>582198</v>
      </c>
      <c r="AZ9" s="6">
        <f>+AY9-'Firms Agri Trade Restaurants'!Z10</f>
        <v>97817</v>
      </c>
      <c r="BA9" s="6">
        <f>+'Firms Agri Trade Restaurants'!AG10</f>
        <v>234532</v>
      </c>
      <c r="BB9" s="6">
        <f>+BA9-'Firms Agri Trade Restaurants'!AD10</f>
        <v>64623</v>
      </c>
      <c r="BC9" s="6">
        <v>270630</v>
      </c>
      <c r="BD9" s="6">
        <v>49550</v>
      </c>
      <c r="BF9" s="1" t="s">
        <v>5</v>
      </c>
      <c r="BG9" s="6">
        <f>+'Firms Agri Trade Restaurants'!N10</f>
        <v>0</v>
      </c>
      <c r="BH9" s="6">
        <f>+'Firms Agri Trade Restaurants'!P10</f>
        <v>12202</v>
      </c>
      <c r="BI9" s="6">
        <f>+'Firms Agri Trade Restaurants'!R10</f>
        <v>0</v>
      </c>
      <c r="BJ9" s="6">
        <f t="shared" ref="BJ9:BJ30" si="35">+(AW9-AX9)*$E$17</f>
        <v>796995.72818977933</v>
      </c>
      <c r="BK9" s="6">
        <f t="shared" ref="BK9:BK30" si="36">+AX9*$E$27</f>
        <v>437639.26593504043</v>
      </c>
      <c r="BL9" s="6">
        <f t="shared" si="27"/>
        <v>1711479.5333333332</v>
      </c>
      <c r="BM9" s="6">
        <f t="shared" si="28"/>
        <v>846769.16333333333</v>
      </c>
      <c r="BN9" s="6">
        <f t="shared" si="29"/>
        <v>600345.1333333333</v>
      </c>
      <c r="BO9" s="6">
        <f t="shared" si="30"/>
        <v>559419.77</v>
      </c>
      <c r="BP9" s="6">
        <f t="shared" si="31"/>
        <v>0</v>
      </c>
      <c r="BQ9" s="6">
        <f t="shared" si="32"/>
        <v>8163.191206915877</v>
      </c>
      <c r="BR9" s="6">
        <f t="shared" si="33"/>
        <v>0</v>
      </c>
      <c r="BS9" s="6">
        <f t="shared" si="21"/>
        <v>0</v>
      </c>
      <c r="BT9" s="6">
        <f t="shared" si="34"/>
        <v>4038.8087930841248</v>
      </c>
      <c r="BU9" s="6">
        <f t="shared" si="22"/>
        <v>0</v>
      </c>
    </row>
    <row r="10" spans="1:73" x14ac:dyDescent="0.2">
      <c r="A10" s="2" t="s">
        <v>49</v>
      </c>
      <c r="B10" s="2">
        <v>-8</v>
      </c>
      <c r="C10" s="2">
        <v>-14</v>
      </c>
      <c r="M10" s="1" t="s">
        <v>6</v>
      </c>
      <c r="N10" s="6">
        <v>199571</v>
      </c>
      <c r="O10" s="6">
        <v>12791</v>
      </c>
      <c r="P10" s="6">
        <v>212362</v>
      </c>
      <c r="Q10" s="6">
        <v>8540</v>
      </c>
      <c r="R10" s="6">
        <v>3983</v>
      </c>
      <c r="S10" s="6">
        <v>733</v>
      </c>
      <c r="T10" s="6">
        <f t="shared" si="23"/>
        <v>225618</v>
      </c>
      <c r="V10" s="1" t="s">
        <v>6</v>
      </c>
      <c r="W10" s="6">
        <f t="shared" si="24"/>
        <v>705150.8666666667</v>
      </c>
      <c r="X10" s="6">
        <f t="shared" si="25"/>
        <v>32403.866666666665</v>
      </c>
      <c r="Y10" s="36">
        <f t="shared" si="13"/>
        <v>651243.46666666667</v>
      </c>
      <c r="Z10" s="6">
        <f t="shared" si="14"/>
        <v>44635.73333333333</v>
      </c>
      <c r="AA10" s="6">
        <f t="shared" si="15"/>
        <v>33072.176666666666</v>
      </c>
      <c r="AB10" s="6">
        <f t="shared" si="16"/>
        <v>10679.810000000001</v>
      </c>
      <c r="AC10" s="6">
        <f t="shared" si="26"/>
        <v>825942.45333333337</v>
      </c>
      <c r="AD10" s="37">
        <v>131100</v>
      </c>
      <c r="AE10" s="6">
        <f t="shared" si="0"/>
        <v>111927.02136439401</v>
      </c>
      <c r="AF10" s="6">
        <f t="shared" si="1"/>
        <v>5143.393347630159</v>
      </c>
      <c r="AG10" s="36">
        <f t="shared" si="2"/>
        <v>103370.4202216897</v>
      </c>
      <c r="AH10" s="6">
        <f t="shared" si="3"/>
        <v>7084.9302107956382</v>
      </c>
      <c r="AI10" s="6">
        <f t="shared" si="4"/>
        <v>5249.4727005516634</v>
      </c>
      <c r="AJ10" s="6">
        <f t="shared" si="5"/>
        <v>1695.1823766285318</v>
      </c>
      <c r="AL10" s="6">
        <f>+SUM('Firms Agri Trade Restaurants'!M11,'Firms Agri Trade Restaurants'!O11,'Firms Agri Trade Restaurants'!Q11)</f>
        <v>26900</v>
      </c>
      <c r="AM10" s="1" t="s">
        <v>6</v>
      </c>
      <c r="AN10" s="6">
        <f t="shared" si="17"/>
        <v>104200</v>
      </c>
      <c r="AO10" s="6">
        <f t="shared" si="6"/>
        <v>88961.065035620559</v>
      </c>
      <c r="AP10" s="6">
        <f t="shared" si="7"/>
        <v>4088.0365127617283</v>
      </c>
      <c r="AQ10" s="6">
        <f t="shared" si="8"/>
        <v>5631.1954840953886</v>
      </c>
      <c r="AR10" s="6">
        <f t="shared" si="9"/>
        <v>4172.3497741989577</v>
      </c>
      <c r="AS10" s="6">
        <f t="shared" si="10"/>
        <v>1347.3531933233639</v>
      </c>
      <c r="AT10" s="36">
        <f t="shared" si="11"/>
        <v>82160.166186880757</v>
      </c>
      <c r="AV10" s="1" t="s">
        <v>6</v>
      </c>
      <c r="AW10" s="6">
        <f>+'Firms Agri Trade Restaurants'!C11</f>
        <v>35050</v>
      </c>
      <c r="AX10" s="6">
        <f t="shared" si="18"/>
        <v>7313.5826771653547</v>
      </c>
      <c r="AY10" s="6">
        <f>+'Firms Agri Trade Restaurants'!AC11</f>
        <v>41205</v>
      </c>
      <c r="AZ10" s="6">
        <f>+AY10-'Firms Agri Trade Restaurants'!Z11</f>
        <v>6974</v>
      </c>
      <c r="BA10" s="6">
        <f>+'Firms Agri Trade Restaurants'!AG11</f>
        <v>14582</v>
      </c>
      <c r="BB10" s="6">
        <f>+BA10-'Firms Agri Trade Restaurants'!AD11</f>
        <v>3242</v>
      </c>
      <c r="BC10" s="6">
        <v>33020</v>
      </c>
      <c r="BD10" s="6">
        <v>6890</v>
      </c>
      <c r="BF10" s="1" t="s">
        <v>6</v>
      </c>
      <c r="BG10" s="6">
        <f>+'Firms Agri Trade Restaurants'!N11</f>
        <v>0</v>
      </c>
      <c r="BH10" s="6">
        <f>+'Firms Agri Trade Restaurants'!P11</f>
        <v>0</v>
      </c>
      <c r="BI10" s="6">
        <f>+'Firms Agri Trade Restaurants'!R11</f>
        <v>0</v>
      </c>
      <c r="BJ10" s="6">
        <f t="shared" si="35"/>
        <v>98002.007874015733</v>
      </c>
      <c r="BK10" s="6">
        <f t="shared" si="36"/>
        <v>63311.247375328086</v>
      </c>
      <c r="BL10" s="6">
        <f t="shared" si="27"/>
        <v>120949.53333333333</v>
      </c>
      <c r="BM10" s="6">
        <f t="shared" si="28"/>
        <v>60371.593333333331</v>
      </c>
      <c r="BN10" s="6">
        <f t="shared" si="29"/>
        <v>40068</v>
      </c>
      <c r="BO10" s="6">
        <f t="shared" si="30"/>
        <v>28064.913333333334</v>
      </c>
      <c r="BP10" s="6">
        <f t="shared" si="31"/>
        <v>0</v>
      </c>
      <c r="BQ10" s="6">
        <f t="shared" si="32"/>
        <v>0</v>
      </c>
      <c r="BR10" s="6">
        <f t="shared" si="33"/>
        <v>0</v>
      </c>
      <c r="BS10" s="6">
        <f t="shared" si="21"/>
        <v>0</v>
      </c>
      <c r="BT10" s="6">
        <f t="shared" si="34"/>
        <v>0</v>
      </c>
      <c r="BU10" s="6">
        <f t="shared" si="22"/>
        <v>0</v>
      </c>
    </row>
    <row r="11" spans="1:73" x14ac:dyDescent="0.2">
      <c r="A11" s="2" t="s">
        <v>50</v>
      </c>
      <c r="B11" s="2">
        <v>-12</v>
      </c>
      <c r="C11" s="2">
        <v>-14</v>
      </c>
      <c r="M11" s="1" t="s">
        <v>7</v>
      </c>
      <c r="N11" s="6">
        <v>70680</v>
      </c>
      <c r="O11" s="6">
        <v>3466</v>
      </c>
      <c r="P11" s="6">
        <v>74146</v>
      </c>
      <c r="Q11" s="6">
        <v>2125</v>
      </c>
      <c r="R11" s="6">
        <v>1063</v>
      </c>
      <c r="S11" s="6">
        <v>165</v>
      </c>
      <c r="T11" s="6">
        <f t="shared" si="23"/>
        <v>77499</v>
      </c>
      <c r="V11" s="1" t="s">
        <v>7</v>
      </c>
      <c r="W11" s="6">
        <f t="shared" si="24"/>
        <v>249736</v>
      </c>
      <c r="X11" s="6">
        <f t="shared" si="25"/>
        <v>8780.5333333333328</v>
      </c>
      <c r="Y11" s="36">
        <f t="shared" si="13"/>
        <v>227381.06666666668</v>
      </c>
      <c r="Z11" s="6">
        <f t="shared" si="14"/>
        <v>11106.666666666666</v>
      </c>
      <c r="AA11" s="6">
        <f t="shared" si="15"/>
        <v>8826.4433333333327</v>
      </c>
      <c r="AB11" s="6">
        <f t="shared" si="16"/>
        <v>2404.0500000000002</v>
      </c>
      <c r="AC11" s="6">
        <f t="shared" si="26"/>
        <v>280853.69333333336</v>
      </c>
      <c r="AD11" s="37">
        <v>42100</v>
      </c>
      <c r="AE11" s="6">
        <f t="shared" si="0"/>
        <v>37435.454293711264</v>
      </c>
      <c r="AF11" s="6">
        <f t="shared" si="1"/>
        <v>1316.2029273889555</v>
      </c>
      <c r="AG11" s="36">
        <f t="shared" si="2"/>
        <v>34084.447290159667</v>
      </c>
      <c r="AH11" s="6">
        <f t="shared" si="3"/>
        <v>1664.89057386795</v>
      </c>
      <c r="AI11" s="6">
        <f t="shared" si="4"/>
        <v>1323.0848415167716</v>
      </c>
      <c r="AJ11" s="6">
        <f t="shared" si="5"/>
        <v>360.36736351505817</v>
      </c>
      <c r="AL11" s="6">
        <f>+SUM('Firms Agri Trade Restaurants'!M12,'Firms Agri Trade Restaurants'!O12,'Firms Agri Trade Restaurants'!Q12)</f>
        <v>7300</v>
      </c>
      <c r="AM11" s="1" t="s">
        <v>7</v>
      </c>
      <c r="AN11" s="6">
        <f t="shared" si="17"/>
        <v>34800</v>
      </c>
      <c r="AO11" s="6">
        <f t="shared" si="6"/>
        <v>30944.271007628311</v>
      </c>
      <c r="AP11" s="6">
        <f t="shared" si="7"/>
        <v>1087.9777167015593</v>
      </c>
      <c r="AQ11" s="6">
        <f t="shared" si="8"/>
        <v>1376.2040848124623</v>
      </c>
      <c r="AR11" s="6">
        <f t="shared" si="9"/>
        <v>1093.6663298048372</v>
      </c>
      <c r="AS11" s="6">
        <f t="shared" si="10"/>
        <v>297.88086105282719</v>
      </c>
      <c r="AT11" s="36">
        <f t="shared" si="11"/>
        <v>28174.317475001342</v>
      </c>
      <c r="AV11" s="1" t="s">
        <v>7</v>
      </c>
      <c r="AW11" s="6">
        <f>+'Firms Agri Trade Restaurants'!C12</f>
        <v>16700</v>
      </c>
      <c r="AX11" s="6">
        <f t="shared" si="18"/>
        <v>127.67584097859327</v>
      </c>
      <c r="AY11" s="6">
        <f>+'Firms Agri Trade Restaurants'!AC12</f>
        <v>16813</v>
      </c>
      <c r="AZ11" s="6">
        <f>+AY11-'Firms Agri Trade Restaurants'!Z12</f>
        <v>1306</v>
      </c>
      <c r="BA11" s="6">
        <f>+'Firms Agri Trade Restaurants'!AG12</f>
        <v>3188</v>
      </c>
      <c r="BB11" s="6">
        <f>+BA11-'Firms Agri Trade Restaurants'!AD12</f>
        <v>653</v>
      </c>
      <c r="BC11" s="6">
        <v>13080</v>
      </c>
      <c r="BD11" s="6">
        <v>100</v>
      </c>
      <c r="BF11" s="1" t="s">
        <v>7</v>
      </c>
      <c r="BG11" s="6">
        <f>+'Firms Agri Trade Restaurants'!N12</f>
        <v>0</v>
      </c>
      <c r="BH11" s="6">
        <f>+'Firms Agri Trade Restaurants'!P12</f>
        <v>0</v>
      </c>
      <c r="BI11" s="6">
        <f>+'Firms Agri Trade Restaurants'!R12</f>
        <v>0</v>
      </c>
      <c r="BJ11" s="6">
        <f t="shared" si="35"/>
        <v>58555.545361875629</v>
      </c>
      <c r="BK11" s="6">
        <f t="shared" si="36"/>
        <v>1105.2471967380225</v>
      </c>
      <c r="BL11" s="6">
        <f t="shared" si="27"/>
        <v>54791.4</v>
      </c>
      <c r="BM11" s="6">
        <f t="shared" si="28"/>
        <v>11305.606666666667</v>
      </c>
      <c r="BN11" s="6">
        <f t="shared" si="29"/>
        <v>8957</v>
      </c>
      <c r="BO11" s="6">
        <f t="shared" si="30"/>
        <v>5652.8033333333333</v>
      </c>
      <c r="BP11" s="6">
        <f t="shared" si="31"/>
        <v>0</v>
      </c>
      <c r="BQ11" s="6">
        <f t="shared" si="32"/>
        <v>0</v>
      </c>
      <c r="BR11" s="6">
        <f t="shared" si="33"/>
        <v>0</v>
      </c>
      <c r="BS11" s="6">
        <f t="shared" si="21"/>
        <v>0</v>
      </c>
      <c r="BT11" s="6">
        <f t="shared" si="34"/>
        <v>0</v>
      </c>
      <c r="BU11" s="6">
        <f t="shared" si="22"/>
        <v>0</v>
      </c>
    </row>
    <row r="12" spans="1:73" x14ac:dyDescent="0.2">
      <c r="A12" s="2" t="s">
        <v>51</v>
      </c>
      <c r="B12" s="7">
        <v>-7.0000000000000007E-2</v>
      </c>
      <c r="C12" s="7">
        <v>-7.0000000000000007E-2</v>
      </c>
      <c r="M12" s="1" t="s">
        <v>8</v>
      </c>
      <c r="N12" s="6">
        <v>2501712</v>
      </c>
      <c r="O12" s="6">
        <v>84442</v>
      </c>
      <c r="P12" s="6">
        <v>2586154</v>
      </c>
      <c r="Q12" s="6">
        <v>44995</v>
      </c>
      <c r="R12" s="6">
        <v>15917</v>
      </c>
      <c r="S12" s="6">
        <v>3463</v>
      </c>
      <c r="T12" s="6">
        <f t="shared" si="23"/>
        <v>2650529</v>
      </c>
      <c r="V12" s="1" t="s">
        <v>8</v>
      </c>
      <c r="W12" s="6">
        <f t="shared" si="24"/>
        <v>8839382.4000000004</v>
      </c>
      <c r="X12" s="6">
        <f t="shared" si="25"/>
        <v>213919.73333333334</v>
      </c>
      <c r="Y12" s="36">
        <f t="shared" si="13"/>
        <v>7930872.2666666675</v>
      </c>
      <c r="Z12" s="6">
        <f t="shared" si="14"/>
        <v>235173.86666666667</v>
      </c>
      <c r="AA12" s="6">
        <f t="shared" si="15"/>
        <v>132164.15666666665</v>
      </c>
      <c r="AB12" s="6">
        <f t="shared" si="16"/>
        <v>50455.910000000011</v>
      </c>
      <c r="AC12" s="6">
        <f t="shared" si="26"/>
        <v>9471096.0666666664</v>
      </c>
      <c r="AD12" s="37">
        <v>2066199.9999999998</v>
      </c>
      <c r="AE12" s="6">
        <f t="shared" si="0"/>
        <v>1928386.3014714362</v>
      </c>
      <c r="AF12" s="6">
        <f t="shared" si="1"/>
        <v>46668.405631418609</v>
      </c>
      <c r="AG12" s="36">
        <f t="shared" si="2"/>
        <v>1730187.1042211861</v>
      </c>
      <c r="AH12" s="6">
        <f t="shared" si="3"/>
        <v>51305.175228539716</v>
      </c>
      <c r="AI12" s="6">
        <f t="shared" si="4"/>
        <v>28832.732619591694</v>
      </c>
      <c r="AJ12" s="6">
        <f t="shared" si="5"/>
        <v>11007.385049013794</v>
      </c>
      <c r="AL12" s="6">
        <f>+SUM('Firms Agri Trade Restaurants'!M13,'Firms Agri Trade Restaurants'!O13,'Firms Agri Trade Restaurants'!Q13)</f>
        <v>807500</v>
      </c>
      <c r="AM12" s="1" t="s">
        <v>8</v>
      </c>
      <c r="AN12" s="6">
        <f t="shared" si="17"/>
        <v>1258699.9999999998</v>
      </c>
      <c r="AO12" s="6">
        <f t="shared" si="6"/>
        <v>1174745.8317985174</v>
      </c>
      <c r="AP12" s="6">
        <f t="shared" si="7"/>
        <v>28429.73679617975</v>
      </c>
      <c r="AQ12" s="6">
        <f t="shared" si="8"/>
        <v>31254.391665938889</v>
      </c>
      <c r="AR12" s="6">
        <f t="shared" si="9"/>
        <v>17564.495473952215</v>
      </c>
      <c r="AS12" s="6">
        <f t="shared" si="10"/>
        <v>6705.5442654117032</v>
      </c>
      <c r="AT12" s="36">
        <f t="shared" si="11"/>
        <v>1054005.6664810798</v>
      </c>
      <c r="AV12" s="1" t="s">
        <v>8</v>
      </c>
      <c r="AW12" s="6">
        <f>+'Firms Agri Trade Restaurants'!C13</f>
        <v>945020</v>
      </c>
      <c r="AX12" s="6">
        <f t="shared" si="18"/>
        <v>13851.12348810237</v>
      </c>
      <c r="AY12" s="6">
        <f>+'Firms Agri Trade Restaurants'!AC13</f>
        <v>744063</v>
      </c>
      <c r="AZ12" s="6">
        <f>+AY12-'Firms Agri Trade Restaurants'!Z13</f>
        <v>35305</v>
      </c>
      <c r="BA12" s="6">
        <f>+'Firms Agri Trade Restaurants'!AG13</f>
        <v>287273</v>
      </c>
      <c r="BB12" s="6">
        <f>+BA12-'Firms Agri Trade Restaurants'!AD13</f>
        <v>24374</v>
      </c>
      <c r="BC12" s="6">
        <v>784610</v>
      </c>
      <c r="BD12" s="6">
        <v>11500</v>
      </c>
      <c r="BF12" s="1" t="s">
        <v>8</v>
      </c>
      <c r="BG12" s="6">
        <f>+'Firms Agri Trade Restaurants'!N13</f>
        <v>0</v>
      </c>
      <c r="BH12" s="6">
        <f>+'Firms Agri Trade Restaurants'!P13</f>
        <v>45630</v>
      </c>
      <c r="BI12" s="6">
        <f>+'Firms Agri Trade Restaurants'!R13</f>
        <v>0</v>
      </c>
      <c r="BJ12" s="6">
        <f t="shared" si="35"/>
        <v>3290130.0303420383</v>
      </c>
      <c r="BK12" s="6">
        <f t="shared" si="36"/>
        <v>119904.55899533951</v>
      </c>
      <c r="BL12" s="6">
        <f t="shared" si="27"/>
        <v>2504278.2666666666</v>
      </c>
      <c r="BM12" s="6">
        <f t="shared" si="28"/>
        <v>305623.61666666664</v>
      </c>
      <c r="BN12" s="6">
        <f t="shared" si="29"/>
        <v>928909.79999999993</v>
      </c>
      <c r="BO12" s="6">
        <f t="shared" si="30"/>
        <v>210997.59333333332</v>
      </c>
      <c r="BP12" s="6">
        <f t="shared" si="31"/>
        <v>0</v>
      </c>
      <c r="BQ12" s="6">
        <f t="shared" si="32"/>
        <v>40666.977728219965</v>
      </c>
      <c r="BR12" s="6">
        <f t="shared" si="33"/>
        <v>0</v>
      </c>
      <c r="BS12" s="6">
        <f t="shared" si="21"/>
        <v>0</v>
      </c>
      <c r="BT12" s="6">
        <f t="shared" si="34"/>
        <v>4963.0222717800352</v>
      </c>
      <c r="BU12" s="6">
        <f t="shared" si="22"/>
        <v>0</v>
      </c>
    </row>
    <row r="13" spans="1:73" x14ac:dyDescent="0.2">
      <c r="A13" s="2" t="s">
        <v>62</v>
      </c>
      <c r="M13" s="1" t="s">
        <v>9</v>
      </c>
      <c r="N13" s="6">
        <v>208708</v>
      </c>
      <c r="O13" s="6">
        <v>10881</v>
      </c>
      <c r="P13" s="6">
        <v>219589</v>
      </c>
      <c r="Q13" s="6">
        <v>6317</v>
      </c>
      <c r="R13" s="6">
        <v>3077</v>
      </c>
      <c r="S13" s="6">
        <v>618</v>
      </c>
      <c r="T13" s="6">
        <f t="shared" si="23"/>
        <v>229601</v>
      </c>
      <c r="V13" s="1" t="s">
        <v>9</v>
      </c>
      <c r="W13" s="6">
        <f t="shared" si="24"/>
        <v>737434.93333333335</v>
      </c>
      <c r="X13" s="6">
        <f t="shared" si="25"/>
        <v>27565.199999999997</v>
      </c>
      <c r="Y13" s="36">
        <f t="shared" si="13"/>
        <v>673406.26666666672</v>
      </c>
      <c r="Z13" s="6">
        <f t="shared" si="14"/>
        <v>33016.853333333333</v>
      </c>
      <c r="AA13" s="6">
        <f t="shared" si="15"/>
        <v>25549.356666666667</v>
      </c>
      <c r="AB13" s="6">
        <f t="shared" si="16"/>
        <v>9004.260000000002</v>
      </c>
      <c r="AC13" s="6">
        <f t="shared" si="26"/>
        <v>832570.60333333327</v>
      </c>
      <c r="AD13" s="37">
        <v>238200</v>
      </c>
      <c r="AE13" s="6">
        <f t="shared" si="0"/>
        <v>210981.5076543999</v>
      </c>
      <c r="AF13" s="6">
        <f t="shared" si="1"/>
        <v>7886.4550510332892</v>
      </c>
      <c r="AG13" s="36">
        <f t="shared" si="2"/>
        <v>192662.78688893258</v>
      </c>
      <c r="AH13" s="6">
        <f t="shared" si="3"/>
        <v>9446.1832215943286</v>
      </c>
      <c r="AI13" s="6">
        <f t="shared" si="4"/>
        <v>7309.7185195276797</v>
      </c>
      <c r="AJ13" s="6">
        <f t="shared" si="5"/>
        <v>2576.1355534448153</v>
      </c>
      <c r="AL13" s="6">
        <f>+SUM('Firms Agri Trade Restaurants'!M14,'Firms Agri Trade Restaurants'!O14,'Firms Agri Trade Restaurants'!Q14)</f>
        <v>66800</v>
      </c>
      <c r="AM13" s="1" t="s">
        <v>9</v>
      </c>
      <c r="AN13" s="6">
        <f t="shared" si="17"/>
        <v>171400</v>
      </c>
      <c r="AO13" s="6">
        <f t="shared" si="6"/>
        <v>151814.5693197487</v>
      </c>
      <c r="AP13" s="6">
        <f t="shared" si="7"/>
        <v>5674.8043482246258</v>
      </c>
      <c r="AQ13" s="6">
        <f t="shared" si="8"/>
        <v>6797.12764139911</v>
      </c>
      <c r="AR13" s="6">
        <f t="shared" si="9"/>
        <v>5259.8058532621508</v>
      </c>
      <c r="AS13" s="6">
        <f t="shared" si="10"/>
        <v>1853.6928373654127</v>
      </c>
      <c r="AT13" s="36">
        <f t="shared" si="11"/>
        <v>138633.08846667944</v>
      </c>
      <c r="AV13" s="1" t="s">
        <v>9</v>
      </c>
      <c r="AW13" s="6">
        <f>+'Firms Agri Trade Restaurants'!C14</f>
        <v>49710</v>
      </c>
      <c r="AX13" s="6">
        <f t="shared" si="18"/>
        <v>2310.6536625855988</v>
      </c>
      <c r="AY13" s="6">
        <f>+'Firms Agri Trade Restaurants'!AC14</f>
        <v>40299</v>
      </c>
      <c r="AZ13" s="6">
        <f>+AY13-'Firms Agri Trade Restaurants'!Z14</f>
        <v>4077</v>
      </c>
      <c r="BA13" s="6">
        <f>+'Firms Agri Trade Restaurants'!AG14</f>
        <v>12012</v>
      </c>
      <c r="BB13" s="6">
        <f>+BA13-'Firms Agri Trade Restaurants'!AD14</f>
        <v>1391</v>
      </c>
      <c r="BC13" s="6">
        <v>48190</v>
      </c>
      <c r="BD13" s="6">
        <v>2240</v>
      </c>
      <c r="BF13" s="1" t="s">
        <v>9</v>
      </c>
      <c r="BG13" s="6">
        <f>+'Firms Agri Trade Restaurants'!N14</f>
        <v>6490</v>
      </c>
      <c r="BH13" s="6">
        <f>+'Firms Agri Trade Restaurants'!P14</f>
        <v>0</v>
      </c>
      <c r="BI13" s="6">
        <f>+'Firms Agri Trade Restaurants'!R14</f>
        <v>0</v>
      </c>
      <c r="BJ13" s="6">
        <f t="shared" si="35"/>
        <v>167477.69039219755</v>
      </c>
      <c r="BK13" s="6">
        <f t="shared" si="36"/>
        <v>20002.558539115998</v>
      </c>
      <c r="BL13" s="6">
        <f t="shared" si="27"/>
        <v>127984.4</v>
      </c>
      <c r="BM13" s="6">
        <f t="shared" si="28"/>
        <v>35293.229999999996</v>
      </c>
      <c r="BN13" s="6">
        <f t="shared" si="29"/>
        <v>37527.533333333333</v>
      </c>
      <c r="BO13" s="6">
        <f t="shared" si="30"/>
        <v>12041.423333333332</v>
      </c>
      <c r="BP13" s="6">
        <f t="shared" si="31"/>
        <v>5797.5718340526464</v>
      </c>
      <c r="BQ13" s="6">
        <f t="shared" si="32"/>
        <v>0</v>
      </c>
      <c r="BR13" s="6">
        <f t="shared" si="33"/>
        <v>0</v>
      </c>
      <c r="BS13" s="6">
        <f>+BG13*BK13/SUM(BJ13:BK13)</f>
        <v>692.42816594735416</v>
      </c>
      <c r="BT13" s="6">
        <f t="shared" si="34"/>
        <v>0</v>
      </c>
      <c r="BU13" s="6">
        <f t="shared" si="22"/>
        <v>0</v>
      </c>
    </row>
    <row r="14" spans="1:73" x14ac:dyDescent="0.2">
      <c r="M14" s="1" t="s">
        <v>10</v>
      </c>
      <c r="N14" s="6">
        <v>2735701</v>
      </c>
      <c r="O14" s="6">
        <v>67560</v>
      </c>
      <c r="P14" s="6">
        <v>2803261</v>
      </c>
      <c r="Q14" s="6">
        <v>36632</v>
      </c>
      <c r="R14" s="6">
        <v>16594</v>
      </c>
      <c r="S14" s="6">
        <v>3891</v>
      </c>
      <c r="T14" s="6">
        <f t="shared" si="23"/>
        <v>2860378</v>
      </c>
      <c r="V14" s="1" t="s">
        <v>10</v>
      </c>
      <c r="W14" s="6">
        <f t="shared" si="24"/>
        <v>9666143.5333333332</v>
      </c>
      <c r="X14" s="6">
        <f t="shared" si="25"/>
        <v>171152</v>
      </c>
      <c r="Y14" s="36">
        <f t="shared" si="13"/>
        <v>8596667.0666666664</v>
      </c>
      <c r="Z14" s="6">
        <f t="shared" si="14"/>
        <v>191463.25333333333</v>
      </c>
      <c r="AA14" s="6">
        <f t="shared" si="15"/>
        <v>137785.51333333334</v>
      </c>
      <c r="AB14" s="6">
        <f t="shared" si="16"/>
        <v>56691.87000000001</v>
      </c>
      <c r="AC14" s="6">
        <f t="shared" si="26"/>
        <v>10223236.17</v>
      </c>
      <c r="AD14" s="37">
        <v>2038800</v>
      </c>
      <c r="AE14" s="6">
        <f t="shared" si="0"/>
        <v>1927700.1047467731</v>
      </c>
      <c r="AF14" s="6">
        <f t="shared" si="1"/>
        <v>34132.508708345726</v>
      </c>
      <c r="AG14" s="36">
        <f t="shared" si="2"/>
        <v>1714416.5041352068</v>
      </c>
      <c r="AH14" s="6">
        <f t="shared" si="3"/>
        <v>38183.142246238451</v>
      </c>
      <c r="AI14" s="6">
        <f t="shared" si="4"/>
        <v>27478.295513542853</v>
      </c>
      <c r="AJ14" s="6">
        <f t="shared" si="5"/>
        <v>11305.948785099818</v>
      </c>
      <c r="AL14" s="6">
        <f>+SUM('Firms Agri Trade Restaurants'!M15,'Firms Agri Trade Restaurants'!O15,'Firms Agri Trade Restaurants'!Q15)</f>
        <v>566700</v>
      </c>
      <c r="AM14" s="1" t="s">
        <v>10</v>
      </c>
      <c r="AN14" s="6">
        <f t="shared" si="17"/>
        <v>1472100</v>
      </c>
      <c r="AO14" s="6">
        <f t="shared" si="6"/>
        <v>1391881.167450326</v>
      </c>
      <c r="AP14" s="6">
        <f t="shared" si="7"/>
        <v>24645.117750419726</v>
      </c>
      <c r="AQ14" s="6">
        <f t="shared" si="8"/>
        <v>27569.846821997067</v>
      </c>
      <c r="AR14" s="6">
        <f t="shared" si="9"/>
        <v>19840.493832394761</v>
      </c>
      <c r="AS14" s="6">
        <f t="shared" si="10"/>
        <v>8163.3741448623896</v>
      </c>
      <c r="AT14" s="36">
        <f t="shared" si="11"/>
        <v>1237881.3693042172</v>
      </c>
      <c r="AV14" s="1" t="s">
        <v>10</v>
      </c>
      <c r="AW14" s="6">
        <f>+'Firms Agri Trade Restaurants'!C15</f>
        <v>456520</v>
      </c>
      <c r="AX14" s="6">
        <f t="shared" si="18"/>
        <v>44237.112441390702</v>
      </c>
      <c r="AY14" s="6">
        <f>+'Firms Agri Trade Restaurants'!AC15</f>
        <v>680926</v>
      </c>
      <c r="AZ14" s="6">
        <f>+AY14-'Firms Agri Trade Restaurants'!Z15</f>
        <v>28374</v>
      </c>
      <c r="BA14" s="6">
        <f>+'Firms Agri Trade Restaurants'!AG15</f>
        <v>258278</v>
      </c>
      <c r="BB14" s="6">
        <f>+BA14-'Firms Agri Trade Restaurants'!AD15</f>
        <v>12261</v>
      </c>
      <c r="BC14" s="6">
        <v>339110</v>
      </c>
      <c r="BD14" s="6">
        <v>32860</v>
      </c>
      <c r="BF14" s="1" t="s">
        <v>10</v>
      </c>
      <c r="BG14" s="6">
        <f>+'Firms Agri Trade Restaurants'!N15</f>
        <v>0</v>
      </c>
      <c r="BH14" s="6">
        <f>+'Firms Agri Trade Restaurants'!P15</f>
        <v>0</v>
      </c>
      <c r="BI14" s="6">
        <f>+'Firms Agri Trade Restaurants'!R15</f>
        <v>0</v>
      </c>
      <c r="BJ14" s="6">
        <f t="shared" si="35"/>
        <v>1456732.8693737527</v>
      </c>
      <c r="BK14" s="6">
        <f t="shared" si="36"/>
        <v>382945.93670097215</v>
      </c>
      <c r="BL14" s="6">
        <f t="shared" si="27"/>
        <v>2305683.7333333334</v>
      </c>
      <c r="BM14" s="6">
        <f t="shared" si="28"/>
        <v>245624.25999999998</v>
      </c>
      <c r="BN14" s="6">
        <f t="shared" si="29"/>
        <v>869260.06666666665</v>
      </c>
      <c r="BO14" s="6">
        <f t="shared" si="30"/>
        <v>106139.39</v>
      </c>
      <c r="BP14" s="6">
        <f t="shared" si="31"/>
        <v>0</v>
      </c>
      <c r="BQ14" s="6">
        <f t="shared" si="32"/>
        <v>0</v>
      </c>
      <c r="BR14" s="6">
        <f t="shared" si="33"/>
        <v>0</v>
      </c>
      <c r="BS14" s="6">
        <f t="shared" ref="BS14:BS30" si="37">+BG14*BK14/SUM(BJ14:BK14)</f>
        <v>0</v>
      </c>
      <c r="BT14" s="6">
        <f t="shared" si="34"/>
        <v>0</v>
      </c>
      <c r="BU14" s="6">
        <f t="shared" si="22"/>
        <v>0</v>
      </c>
    </row>
    <row r="15" spans="1:73" ht="12" thickBot="1" x14ac:dyDescent="0.25">
      <c r="A15" s="2" t="s">
        <v>67</v>
      </c>
      <c r="M15" s="1" t="s">
        <v>11</v>
      </c>
      <c r="N15" s="6">
        <v>672143</v>
      </c>
      <c r="O15" s="6">
        <v>22014</v>
      </c>
      <c r="P15" s="6">
        <v>694157</v>
      </c>
      <c r="Q15" s="6">
        <v>10511</v>
      </c>
      <c r="R15" s="6">
        <v>3508</v>
      </c>
      <c r="S15" s="6">
        <v>523</v>
      </c>
      <c r="T15" s="6">
        <f t="shared" si="23"/>
        <v>708699</v>
      </c>
      <c r="V15" s="1" t="s">
        <v>11</v>
      </c>
      <c r="W15" s="6">
        <f t="shared" si="24"/>
        <v>2374905.2666666666</v>
      </c>
      <c r="X15" s="6">
        <f t="shared" si="25"/>
        <v>55768.799999999996</v>
      </c>
      <c r="Y15" s="36">
        <f t="shared" si="13"/>
        <v>2128748.1333333333</v>
      </c>
      <c r="Z15" s="6">
        <f t="shared" si="14"/>
        <v>54937.493333333332</v>
      </c>
      <c r="AA15" s="6">
        <f t="shared" si="15"/>
        <v>29128.093333333331</v>
      </c>
      <c r="AB15" s="6">
        <f t="shared" si="16"/>
        <v>7620.1100000000015</v>
      </c>
      <c r="AC15" s="6">
        <f t="shared" si="26"/>
        <v>2522359.7633333327</v>
      </c>
      <c r="AD15" s="37">
        <v>832700</v>
      </c>
      <c r="AE15" s="6">
        <f t="shared" si="0"/>
        <v>784021.23452045931</v>
      </c>
      <c r="AF15" s="6">
        <f t="shared" si="1"/>
        <v>18410.80738563267</v>
      </c>
      <c r="AG15" s="36">
        <f t="shared" si="2"/>
        <v>702758.0269850723</v>
      </c>
      <c r="AH15" s="6">
        <f t="shared" si="3"/>
        <v>18136.37030040953</v>
      </c>
      <c r="AI15" s="6">
        <f t="shared" si="4"/>
        <v>9615.9809045690617</v>
      </c>
      <c r="AJ15" s="6">
        <f t="shared" si="5"/>
        <v>2515.6068889295339</v>
      </c>
      <c r="AL15" s="6">
        <f>+SUM('Firms Agri Trade Restaurants'!M16,'Firms Agri Trade Restaurants'!O16,'Firms Agri Trade Restaurants'!Q16)</f>
        <v>470000</v>
      </c>
      <c r="AM15" s="1" t="s">
        <v>11</v>
      </c>
      <c r="AN15" s="6">
        <f t="shared" si="17"/>
        <v>362700</v>
      </c>
      <c r="AO15" s="6">
        <f t="shared" si="6"/>
        <v>341496.93978692283</v>
      </c>
      <c r="AP15" s="6">
        <f t="shared" si="7"/>
        <v>8019.2144094739633</v>
      </c>
      <c r="AQ15" s="6">
        <f t="shared" si="8"/>
        <v>7899.6775644992631</v>
      </c>
      <c r="AR15" s="6">
        <f t="shared" si="9"/>
        <v>4188.4427453911358</v>
      </c>
      <c r="AS15" s="6">
        <f t="shared" si="10"/>
        <v>1095.7254937129121</v>
      </c>
      <c r="AT15" s="36">
        <f t="shared" si="11"/>
        <v>306101.04045572923</v>
      </c>
      <c r="AV15" s="1" t="s">
        <v>11</v>
      </c>
      <c r="AW15" s="6">
        <f>+'Firms Agri Trade Restaurants'!C16</f>
        <v>684950</v>
      </c>
      <c r="AX15" s="6">
        <f t="shared" si="18"/>
        <v>800.81841432225065</v>
      </c>
      <c r="AY15" s="6">
        <f>+'Firms Agri Trade Restaurants'!AC16</f>
        <v>227505</v>
      </c>
      <c r="AZ15" s="6">
        <f>+AY15-'Firms Agri Trade Restaurants'!Z16</f>
        <v>8112</v>
      </c>
      <c r="BA15" s="6">
        <f>+'Firms Agri Trade Restaurants'!AG16</f>
        <v>107678</v>
      </c>
      <c r="BB15" s="6">
        <f>+BA15-'Firms Agri Trade Restaurants'!AD16</f>
        <v>14462</v>
      </c>
      <c r="BC15" s="6">
        <v>684250</v>
      </c>
      <c r="BD15" s="6">
        <v>800</v>
      </c>
      <c r="BF15" s="1" t="s">
        <v>11</v>
      </c>
      <c r="BG15" s="6">
        <f>+'Firms Agri Trade Restaurants'!N16</f>
        <v>0</v>
      </c>
      <c r="BH15" s="6">
        <f>+'Firms Agri Trade Restaurants'!P16</f>
        <v>32649</v>
      </c>
      <c r="BI15" s="6">
        <f>+'Firms Agri Trade Restaurants'!R16</f>
        <v>0</v>
      </c>
      <c r="BJ15" s="6">
        <f t="shared" si="35"/>
        <v>2417327.1082693948</v>
      </c>
      <c r="BK15" s="6">
        <f t="shared" si="36"/>
        <v>6932.418073316283</v>
      </c>
      <c r="BL15" s="6">
        <f t="shared" si="27"/>
        <v>775188.6</v>
      </c>
      <c r="BM15" s="6">
        <f t="shared" si="28"/>
        <v>70222.87999999999</v>
      </c>
      <c r="BN15" s="6">
        <f t="shared" si="29"/>
        <v>329363.20000000001</v>
      </c>
      <c r="BO15" s="6">
        <f t="shared" si="30"/>
        <v>125192.71333333333</v>
      </c>
      <c r="BP15" s="6">
        <f t="shared" si="31"/>
        <v>0</v>
      </c>
      <c r="BQ15" s="6">
        <f t="shared" si="32"/>
        <v>29937.058107372752</v>
      </c>
      <c r="BR15" s="6">
        <f t="shared" si="33"/>
        <v>0</v>
      </c>
      <c r="BS15" s="6">
        <f t="shared" si="37"/>
        <v>0</v>
      </c>
      <c r="BT15" s="6">
        <f t="shared" si="34"/>
        <v>2711.9418926272447</v>
      </c>
      <c r="BU15" s="6">
        <f t="shared" si="22"/>
        <v>0</v>
      </c>
    </row>
    <row r="16" spans="1:73" x14ac:dyDescent="0.2">
      <c r="A16" s="152"/>
      <c r="B16" s="153">
        <v>2008</v>
      </c>
      <c r="C16" s="153">
        <v>2009</v>
      </c>
      <c r="D16" s="153">
        <v>2010</v>
      </c>
      <c r="E16" s="154" t="s">
        <v>156</v>
      </c>
      <c r="M16" s="1" t="s">
        <v>26</v>
      </c>
      <c r="N16" s="6">
        <v>139386</v>
      </c>
      <c r="O16" s="6">
        <v>7645</v>
      </c>
      <c r="P16" s="6">
        <v>147031</v>
      </c>
      <c r="Q16" s="6">
        <v>4016</v>
      </c>
      <c r="R16" s="6">
        <v>1883</v>
      </c>
      <c r="S16" s="6">
        <v>429</v>
      </c>
      <c r="T16" s="6">
        <f t="shared" si="23"/>
        <v>153359</v>
      </c>
      <c r="V16" s="1" t="s">
        <v>26</v>
      </c>
      <c r="W16" s="6">
        <f t="shared" si="24"/>
        <v>492497.2</v>
      </c>
      <c r="X16" s="6">
        <f t="shared" si="25"/>
        <v>19367.333333333332</v>
      </c>
      <c r="Y16" s="36">
        <f t="shared" si="13"/>
        <v>450895.06666666671</v>
      </c>
      <c r="Z16" s="6">
        <f t="shared" si="14"/>
        <v>20990.293333333331</v>
      </c>
      <c r="AA16" s="6">
        <f t="shared" si="15"/>
        <v>15635.176666666666</v>
      </c>
      <c r="AB16" s="6">
        <f t="shared" si="16"/>
        <v>6250.5300000000007</v>
      </c>
      <c r="AC16" s="6">
        <f t="shared" si="26"/>
        <v>554740.53333333333</v>
      </c>
      <c r="AD16" s="37">
        <v>101900</v>
      </c>
      <c r="AE16" s="6">
        <f t="shared" si="0"/>
        <v>90466.554478081525</v>
      </c>
      <c r="AF16" s="6">
        <f t="shared" si="1"/>
        <v>3557.5753853933875</v>
      </c>
      <c r="AG16" s="36">
        <f t="shared" si="2"/>
        <v>82824.680246909425</v>
      </c>
      <c r="AH16" s="6">
        <f t="shared" si="3"/>
        <v>3855.6960635530745</v>
      </c>
      <c r="AI16" s="6">
        <f t="shared" si="4"/>
        <v>2872.0174687072922</v>
      </c>
      <c r="AJ16" s="6">
        <f t="shared" si="5"/>
        <v>1148.1566042647207</v>
      </c>
      <c r="AL16" s="6">
        <f>+SUM('Firms Agri Trade Restaurants'!M17,'Firms Agri Trade Restaurants'!O17,'Firms Agri Trade Restaurants'!Q17)</f>
        <v>53400</v>
      </c>
      <c r="AM16" s="1" t="s">
        <v>26</v>
      </c>
      <c r="AN16" s="6">
        <f t="shared" si="17"/>
        <v>48500</v>
      </c>
      <c r="AO16" s="6">
        <f t="shared" si="6"/>
        <v>43058.173623031929</v>
      </c>
      <c r="AP16" s="6">
        <f t="shared" si="7"/>
        <v>1693.2522688084325</v>
      </c>
      <c r="AQ16" s="6">
        <f t="shared" si="8"/>
        <v>1835.1448388844369</v>
      </c>
      <c r="AR16" s="6">
        <f t="shared" si="9"/>
        <v>1366.9563025741284</v>
      </c>
      <c r="AS16" s="6">
        <f t="shared" si="10"/>
        <v>546.47296670106925</v>
      </c>
      <c r="AT16" s="36">
        <f t="shared" si="11"/>
        <v>39420.971461973575</v>
      </c>
      <c r="AV16" s="1" t="s">
        <v>26</v>
      </c>
      <c r="AW16" s="6">
        <f>+'Firms Agri Trade Restaurants'!C17</f>
        <v>134460</v>
      </c>
      <c r="AX16" s="6">
        <f t="shared" si="18"/>
        <v>454.18701059419624</v>
      </c>
      <c r="AY16" s="6">
        <f>+'Firms Agri Trade Restaurants'!AC17</f>
        <v>35215</v>
      </c>
      <c r="AZ16" s="6">
        <f>+AY16-'Firms Agri Trade Restaurants'!Z17</f>
        <v>2896</v>
      </c>
      <c r="BA16" s="6">
        <f>+'Firms Agri Trade Restaurants'!AG17</f>
        <v>20592</v>
      </c>
      <c r="BB16" s="6">
        <f>+BA16-'Firms Agri Trade Restaurants'!AD17</f>
        <v>1675</v>
      </c>
      <c r="BC16" s="6">
        <v>130260</v>
      </c>
      <c r="BD16" s="6">
        <v>440</v>
      </c>
      <c r="BF16" s="1" t="s">
        <v>26</v>
      </c>
      <c r="BG16" s="6">
        <f>+'Firms Agri Trade Restaurants'!N17</f>
        <v>0</v>
      </c>
      <c r="BH16" s="6">
        <f>+'Firms Agri Trade Restaurants'!P17</f>
        <v>0</v>
      </c>
      <c r="BI16" s="6">
        <f>+'Firms Agri Trade Restaurants'!R17</f>
        <v>0</v>
      </c>
      <c r="BJ16" s="6">
        <f t="shared" si="35"/>
        <v>473487.20589590044</v>
      </c>
      <c r="BK16" s="6">
        <f t="shared" si="36"/>
        <v>3931.7455550437585</v>
      </c>
      <c r="BL16" s="6">
        <f t="shared" si="27"/>
        <v>114193.8</v>
      </c>
      <c r="BM16" s="6">
        <f t="shared" si="28"/>
        <v>25069.706666666665</v>
      </c>
      <c r="BN16" s="6">
        <f t="shared" si="29"/>
        <v>66840.066666666666</v>
      </c>
      <c r="BO16" s="6">
        <f t="shared" si="30"/>
        <v>14499.916666666666</v>
      </c>
      <c r="BP16" s="6">
        <f t="shared" si="31"/>
        <v>0</v>
      </c>
      <c r="BQ16" s="6">
        <f t="shared" si="32"/>
        <v>0</v>
      </c>
      <c r="BR16" s="6">
        <f t="shared" si="33"/>
        <v>0</v>
      </c>
      <c r="BS16" s="6">
        <f t="shared" si="37"/>
        <v>0</v>
      </c>
      <c r="BT16" s="6">
        <f t="shared" si="34"/>
        <v>0</v>
      </c>
      <c r="BU16" s="6">
        <f t="shared" si="22"/>
        <v>0</v>
      </c>
    </row>
    <row r="17" spans="1:73" x14ac:dyDescent="0.2">
      <c r="A17" s="155" t="s">
        <v>162</v>
      </c>
      <c r="B17" s="35">
        <v>3.92</v>
      </c>
      <c r="C17" s="35">
        <v>3.44</v>
      </c>
      <c r="D17" s="35">
        <v>3.24</v>
      </c>
      <c r="E17" s="156">
        <f>+AVERAGE(B17:D17)</f>
        <v>3.5333333333333332</v>
      </c>
      <c r="M17" s="1" t="s">
        <v>12</v>
      </c>
      <c r="N17" s="6">
        <v>566058</v>
      </c>
      <c r="O17" s="6">
        <v>18425</v>
      </c>
      <c r="P17" s="6">
        <v>584483</v>
      </c>
      <c r="Q17" s="6">
        <v>9608</v>
      </c>
      <c r="R17" s="6">
        <v>4515</v>
      </c>
      <c r="S17" s="6">
        <v>941</v>
      </c>
      <c r="T17" s="6">
        <f t="shared" si="23"/>
        <v>599547</v>
      </c>
      <c r="V17" s="1" t="s">
        <v>12</v>
      </c>
      <c r="W17" s="6">
        <f t="shared" si="24"/>
        <v>2000071.5999999999</v>
      </c>
      <c r="X17" s="6">
        <f t="shared" si="25"/>
        <v>46676.666666666664</v>
      </c>
      <c r="Y17" s="36">
        <f t="shared" si="13"/>
        <v>1792414.5333333334</v>
      </c>
      <c r="Z17" s="6">
        <f t="shared" si="14"/>
        <v>50217.813333333332</v>
      </c>
      <c r="AA17" s="6">
        <f t="shared" si="15"/>
        <v>37489.549999999996</v>
      </c>
      <c r="AB17" s="6">
        <f t="shared" si="16"/>
        <v>13710.370000000003</v>
      </c>
      <c r="AC17" s="6">
        <f t="shared" si="26"/>
        <v>2148166</v>
      </c>
      <c r="AD17" s="37">
        <v>277200</v>
      </c>
      <c r="AE17" s="6">
        <f t="shared" si="0"/>
        <v>258089.85316777194</v>
      </c>
      <c r="AF17" s="6">
        <f t="shared" si="1"/>
        <v>6023.1713936446249</v>
      </c>
      <c r="AG17" s="36">
        <f t="shared" si="2"/>
        <v>231293.72154665887</v>
      </c>
      <c r="AH17" s="6">
        <f t="shared" si="3"/>
        <v>6480.1220464340277</v>
      </c>
      <c r="AI17" s="6">
        <f t="shared" si="4"/>
        <v>4837.6630390761229</v>
      </c>
      <c r="AJ17" s="6">
        <f t="shared" si="5"/>
        <v>1769.1903530732732</v>
      </c>
      <c r="AL17" s="6">
        <f>+SUM('Firms Agri Trade Restaurants'!M18,'Firms Agri Trade Restaurants'!O18,'Firms Agri Trade Restaurants'!Q18)</f>
        <v>83100</v>
      </c>
      <c r="AM17" s="1" t="s">
        <v>12</v>
      </c>
      <c r="AN17" s="6">
        <f t="shared" si="17"/>
        <v>194100</v>
      </c>
      <c r="AO17" s="6">
        <f t="shared" si="6"/>
        <v>180718.76082202213</v>
      </c>
      <c r="AP17" s="6">
        <f t="shared" si="7"/>
        <v>4217.5236923031089</v>
      </c>
      <c r="AQ17" s="6">
        <f t="shared" si="8"/>
        <v>4537.4880563233937</v>
      </c>
      <c r="AR17" s="6">
        <f t="shared" si="9"/>
        <v>3387.4112405652077</v>
      </c>
      <c r="AS17" s="6">
        <f t="shared" si="10"/>
        <v>1238.8161887861556</v>
      </c>
      <c r="AT17" s="36">
        <f t="shared" si="11"/>
        <v>161955.66865875357</v>
      </c>
      <c r="AV17" s="1" t="s">
        <v>12</v>
      </c>
      <c r="AW17" s="6">
        <f>+'Firms Agri Trade Restaurants'!C18</f>
        <v>430000</v>
      </c>
      <c r="AX17" s="6">
        <f t="shared" si="18"/>
        <v>1125.0921719274043</v>
      </c>
      <c r="AY17" s="6">
        <f>+'Firms Agri Trade Restaurants'!AC18</f>
        <v>134240</v>
      </c>
      <c r="AZ17" s="6">
        <f>+AY17-'Firms Agri Trade Restaurants'!Z18</f>
        <v>8466</v>
      </c>
      <c r="BA17" s="6">
        <f>+'Firms Agri Trade Restaurants'!AG18</f>
        <v>30624</v>
      </c>
      <c r="BB17" s="6">
        <f>+BA17-'Firms Agri Trade Restaurants'!AD18</f>
        <v>2908</v>
      </c>
      <c r="BC17" s="6">
        <v>420410</v>
      </c>
      <c r="BD17" s="6">
        <v>1100</v>
      </c>
      <c r="BF17" s="1" t="s">
        <v>12</v>
      </c>
      <c r="BG17" s="6">
        <f>+'Firms Agri Trade Restaurants'!N18</f>
        <v>0</v>
      </c>
      <c r="BH17" s="6">
        <f>+'Firms Agri Trade Restaurants'!P18</f>
        <v>0</v>
      </c>
      <c r="BI17" s="6">
        <f>+'Firms Agri Trade Restaurants'!R18</f>
        <v>0</v>
      </c>
      <c r="BJ17" s="6">
        <f t="shared" si="35"/>
        <v>1515358.0076591899</v>
      </c>
      <c r="BK17" s="6">
        <f t="shared" si="36"/>
        <v>9739.5479016515619</v>
      </c>
      <c r="BL17" s="6">
        <f t="shared" si="27"/>
        <v>444401.46666666667</v>
      </c>
      <c r="BM17" s="6">
        <f t="shared" si="28"/>
        <v>73287.34</v>
      </c>
      <c r="BN17" s="6">
        <f t="shared" si="29"/>
        <v>97929.866666666669</v>
      </c>
      <c r="BO17" s="6">
        <f t="shared" si="30"/>
        <v>25173.586666666666</v>
      </c>
      <c r="BP17" s="6">
        <f t="shared" si="31"/>
        <v>0</v>
      </c>
      <c r="BQ17" s="6">
        <f t="shared" si="32"/>
        <v>0</v>
      </c>
      <c r="BR17" s="6">
        <f t="shared" si="33"/>
        <v>0</v>
      </c>
      <c r="BS17" s="6">
        <f t="shared" si="37"/>
        <v>0</v>
      </c>
      <c r="BT17" s="6">
        <f t="shared" si="34"/>
        <v>0</v>
      </c>
      <c r="BU17" s="6">
        <f t="shared" si="22"/>
        <v>0</v>
      </c>
    </row>
    <row r="18" spans="1:73" x14ac:dyDescent="0.2">
      <c r="A18" s="155" t="s">
        <v>163</v>
      </c>
      <c r="B18" s="35">
        <v>2.94</v>
      </c>
      <c r="C18" s="35">
        <v>2.72</v>
      </c>
      <c r="D18" s="35">
        <v>1.94</v>
      </c>
      <c r="E18" s="156">
        <f>+AVERAGE(B18:D18)</f>
        <v>2.5333333333333332</v>
      </c>
      <c r="M18" s="1" t="s">
        <v>13</v>
      </c>
      <c r="N18" s="6">
        <v>242031</v>
      </c>
      <c r="O18" s="6">
        <v>10984</v>
      </c>
      <c r="P18" s="6">
        <v>253015</v>
      </c>
      <c r="Q18" s="6">
        <v>6566</v>
      </c>
      <c r="R18" s="6">
        <v>3136</v>
      </c>
      <c r="S18" s="6">
        <v>592</v>
      </c>
      <c r="T18" s="6">
        <f t="shared" si="23"/>
        <v>263309</v>
      </c>
      <c r="V18" s="1" t="s">
        <v>13</v>
      </c>
      <c r="W18" s="6">
        <f t="shared" si="24"/>
        <v>855176.2</v>
      </c>
      <c r="X18" s="6">
        <f t="shared" si="25"/>
        <v>27826.133333333331</v>
      </c>
      <c r="Y18" s="36">
        <f t="shared" si="13"/>
        <v>775912.66666666674</v>
      </c>
      <c r="Z18" s="6">
        <f t="shared" si="14"/>
        <v>34318.293333333335</v>
      </c>
      <c r="AA18" s="6">
        <f t="shared" si="15"/>
        <v>26039.25333333333</v>
      </c>
      <c r="AB18" s="6">
        <f t="shared" si="16"/>
        <v>8625.44</v>
      </c>
      <c r="AC18" s="6">
        <f t="shared" si="26"/>
        <v>951985.31999999983</v>
      </c>
      <c r="AD18" s="37">
        <v>219400</v>
      </c>
      <c r="AE18" s="6">
        <f t="shared" si="0"/>
        <v>197088.81464684775</v>
      </c>
      <c r="AF18" s="6">
        <f t="shared" si="1"/>
        <v>6412.9703736748106</v>
      </c>
      <c r="AG18" s="36">
        <f t="shared" si="2"/>
        <v>178821.28588565494</v>
      </c>
      <c r="AH18" s="6">
        <f t="shared" si="3"/>
        <v>7909.1908237968792</v>
      </c>
      <c r="AI18" s="6">
        <f t="shared" si="4"/>
        <v>6001.1557545166079</v>
      </c>
      <c r="AJ18" s="6">
        <f t="shared" si="5"/>
        <v>1987.8684011640014</v>
      </c>
      <c r="AL18" s="6">
        <f>+SUM('Firms Agri Trade Restaurants'!M19,'Firms Agri Trade Restaurants'!O19,'Firms Agri Trade Restaurants'!Q19)</f>
        <v>76100</v>
      </c>
      <c r="AM18" s="1" t="s">
        <v>13</v>
      </c>
      <c r="AN18" s="6">
        <f t="shared" si="17"/>
        <v>143300</v>
      </c>
      <c r="AO18" s="6">
        <f t="shared" si="6"/>
        <v>128727.56216450904</v>
      </c>
      <c r="AP18" s="6">
        <f t="shared" si="7"/>
        <v>4188.5991547292633</v>
      </c>
      <c r="AQ18" s="6">
        <f t="shared" si="8"/>
        <v>5165.8479719694287</v>
      </c>
      <c r="AR18" s="6">
        <f t="shared" si="9"/>
        <v>3919.6245197002277</v>
      </c>
      <c r="AS18" s="6">
        <f t="shared" si="10"/>
        <v>1298.3661890920757</v>
      </c>
      <c r="AT18" s="36">
        <f t="shared" si="11"/>
        <v>116796.21817417663</v>
      </c>
      <c r="AV18" s="1" t="s">
        <v>13</v>
      </c>
      <c r="AW18" s="6">
        <f>+'Firms Agri Trade Restaurants'!C19</f>
        <v>137560</v>
      </c>
      <c r="AX18" s="6">
        <f t="shared" si="18"/>
        <v>4110.318527177089</v>
      </c>
      <c r="AY18" s="6">
        <f>+'Firms Agri Trade Restaurants'!AC19</f>
        <v>47789</v>
      </c>
      <c r="AZ18" s="6">
        <f>+AY18-'Firms Agri Trade Restaurants'!Z19</f>
        <v>6449</v>
      </c>
      <c r="BA18" s="6">
        <f>+'Firms Agri Trade Restaurants'!AG19</f>
        <v>19172</v>
      </c>
      <c r="BB18" s="6">
        <f>+BA18-'Firms Agri Trade Restaurants'!AD19</f>
        <v>3988</v>
      </c>
      <c r="BC18" s="6">
        <v>136880</v>
      </c>
      <c r="BD18" s="6">
        <v>4090</v>
      </c>
      <c r="BF18" s="1" t="s">
        <v>13</v>
      </c>
      <c r="BG18" s="6">
        <f>+'Firms Agri Trade Restaurants'!N19</f>
        <v>0</v>
      </c>
      <c r="BH18" s="6">
        <f>+'Firms Agri Trade Restaurants'!P19</f>
        <v>0</v>
      </c>
      <c r="BI18" s="6">
        <f>+'Firms Agri Trade Restaurants'!R19</f>
        <v>0</v>
      </c>
      <c r="BJ18" s="6">
        <f t="shared" si="35"/>
        <v>471522.20787064091</v>
      </c>
      <c r="BK18" s="6">
        <f t="shared" si="36"/>
        <v>35581.657383596335</v>
      </c>
      <c r="BL18" s="6">
        <f t="shared" si="27"/>
        <v>146068</v>
      </c>
      <c r="BM18" s="6">
        <f t="shared" si="28"/>
        <v>55826.843333333331</v>
      </c>
      <c r="BN18" s="6">
        <f t="shared" si="29"/>
        <v>53650.133333333331</v>
      </c>
      <c r="BO18" s="6">
        <f t="shared" si="30"/>
        <v>34522.786666666667</v>
      </c>
      <c r="BP18" s="6">
        <f t="shared" si="31"/>
        <v>0</v>
      </c>
      <c r="BQ18" s="6">
        <f t="shared" si="32"/>
        <v>0</v>
      </c>
      <c r="BR18" s="6">
        <f t="shared" si="33"/>
        <v>0</v>
      </c>
      <c r="BS18" s="6">
        <f t="shared" si="37"/>
        <v>0</v>
      </c>
      <c r="BT18" s="6">
        <f t="shared" si="34"/>
        <v>0</v>
      </c>
      <c r="BU18" s="6">
        <f t="shared" si="22"/>
        <v>0</v>
      </c>
    </row>
    <row r="19" spans="1:73" x14ac:dyDescent="0.2">
      <c r="A19" s="155" t="s">
        <v>164</v>
      </c>
      <c r="B19" s="35">
        <v>3.45</v>
      </c>
      <c r="C19" s="157">
        <v>3.1</v>
      </c>
      <c r="D19" s="35">
        <v>2.65</v>
      </c>
      <c r="E19" s="156">
        <f>+AVERAGE(B19:D19)</f>
        <v>3.0666666666666669</v>
      </c>
      <c r="M19" s="1" t="s">
        <v>14</v>
      </c>
      <c r="N19" s="6">
        <v>3498405</v>
      </c>
      <c r="O19" s="6">
        <v>125962</v>
      </c>
      <c r="P19" s="6">
        <v>3624367</v>
      </c>
      <c r="Q19" s="6">
        <v>47361.915977142336</v>
      </c>
      <c r="R19" s="6">
        <v>20364</v>
      </c>
      <c r="S19" s="6">
        <v>5030.7167249143058</v>
      </c>
      <c r="T19" s="6">
        <f t="shared" si="23"/>
        <v>3697123.6327020568</v>
      </c>
      <c r="V19" s="1" t="s">
        <v>14</v>
      </c>
      <c r="W19" s="6">
        <f t="shared" si="24"/>
        <v>12361031</v>
      </c>
      <c r="X19" s="6">
        <f t="shared" si="25"/>
        <v>319103.73333333334</v>
      </c>
      <c r="Y19" s="36">
        <f t="shared" si="13"/>
        <v>11114725.466666667</v>
      </c>
      <c r="Z19" s="6">
        <f t="shared" si="14"/>
        <v>247544.94750719727</v>
      </c>
      <c r="AA19" s="6">
        <f t="shared" si="15"/>
        <v>169089.08</v>
      </c>
      <c r="AB19" s="6">
        <f t="shared" si="16"/>
        <v>73297.54268200144</v>
      </c>
      <c r="AC19" s="6">
        <f t="shared" si="26"/>
        <v>13170066.303522531</v>
      </c>
      <c r="AD19" s="37">
        <v>3575400</v>
      </c>
      <c r="AE19" s="6">
        <f t="shared" si="0"/>
        <v>3355763.685531273</v>
      </c>
      <c r="AF19" s="6">
        <f t="shared" si="1"/>
        <v>86630.048920470726</v>
      </c>
      <c r="AG19" s="36">
        <f t="shared" si="2"/>
        <v>3017417.5678136908</v>
      </c>
      <c r="AH19" s="6">
        <f t="shared" si="3"/>
        <v>67203.321905866746</v>
      </c>
      <c r="AI19" s="6">
        <f t="shared" si="4"/>
        <v>45904.180183990502</v>
      </c>
      <c r="AJ19" s="6">
        <f t="shared" si="5"/>
        <v>19898.763458399138</v>
      </c>
      <c r="AL19" s="6">
        <f>+SUM('Firms Agri Trade Restaurants'!M20,'Firms Agri Trade Restaurants'!O20,'Firms Agri Trade Restaurants'!Q20)</f>
        <v>1104000</v>
      </c>
      <c r="AM19" s="1" t="s">
        <v>14</v>
      </c>
      <c r="AN19" s="6">
        <f t="shared" si="17"/>
        <v>2471400</v>
      </c>
      <c r="AO19" s="6">
        <f t="shared" si="6"/>
        <v>2319582.2488174718</v>
      </c>
      <c r="AP19" s="6">
        <f t="shared" si="7"/>
        <v>59880.713459207742</v>
      </c>
      <c r="AQ19" s="6">
        <f t="shared" si="8"/>
        <v>46452.505945672958</v>
      </c>
      <c r="AR19" s="6">
        <f t="shared" si="9"/>
        <v>31730.041647567861</v>
      </c>
      <c r="AS19" s="6">
        <f t="shared" si="10"/>
        <v>13754.490130079888</v>
      </c>
      <c r="AT19" s="36">
        <f t="shared" si="11"/>
        <v>2085709.5086129538</v>
      </c>
      <c r="AV19" s="1" t="s">
        <v>14</v>
      </c>
      <c r="AW19" s="6">
        <f>+'Firms Agri Trade Restaurants'!C20</f>
        <v>1145710</v>
      </c>
      <c r="AX19" s="6">
        <f t="shared" si="18"/>
        <v>29551.459928986958</v>
      </c>
      <c r="AY19" s="6">
        <f>+'Firms Agri Trade Restaurants'!AC20</f>
        <v>1080739</v>
      </c>
      <c r="AZ19" s="6">
        <f>+AY19-'Firms Agri Trade Restaurants'!Z20</f>
        <v>38792</v>
      </c>
      <c r="BA19" s="6">
        <f>+'Firms Agri Trade Restaurants'!AG20</f>
        <v>337140</v>
      </c>
      <c r="BB19" s="6">
        <f>+BA19-'Firms Agri Trade Restaurants'!AD20</f>
        <v>27566</v>
      </c>
      <c r="BC19" s="6">
        <v>1129370</v>
      </c>
      <c r="BD19" s="6">
        <v>29130</v>
      </c>
      <c r="BF19" s="1" t="s">
        <v>14</v>
      </c>
      <c r="BG19" s="6">
        <f>+'Firms Agri Trade Restaurants'!N20</f>
        <v>0</v>
      </c>
      <c r="BH19" s="6">
        <f>+'Firms Agri Trade Restaurants'!P20</f>
        <v>61220</v>
      </c>
      <c r="BI19" s="6">
        <f>+'Firms Agri Trade Restaurants'!R20</f>
        <v>6860</v>
      </c>
      <c r="BJ19" s="6">
        <f t="shared" si="35"/>
        <v>3943760.1749175796</v>
      </c>
      <c r="BK19" s="6">
        <f t="shared" si="36"/>
        <v>255817.1381185971</v>
      </c>
      <c r="BL19" s="6">
        <f t="shared" si="27"/>
        <v>3681546.0666666664</v>
      </c>
      <c r="BM19" s="6">
        <f t="shared" si="28"/>
        <v>335809.41333333333</v>
      </c>
      <c r="BN19" s="6">
        <f t="shared" si="29"/>
        <v>1093828.1333333333</v>
      </c>
      <c r="BO19" s="6">
        <f t="shared" si="30"/>
        <v>238629.67333333331</v>
      </c>
      <c r="BP19" s="6">
        <f t="shared" si="31"/>
        <v>0</v>
      </c>
      <c r="BQ19" s="6">
        <f t="shared" si="32"/>
        <v>56102.640486605218</v>
      </c>
      <c r="BR19" s="6">
        <f t="shared" si="33"/>
        <v>5631.4436052861929</v>
      </c>
      <c r="BS19" s="6">
        <f t="shared" si="37"/>
        <v>0</v>
      </c>
      <c r="BT19" s="6">
        <f t="shared" si="34"/>
        <v>5117.3595133947838</v>
      </c>
      <c r="BU19" s="6">
        <f>+BI19*BO19/SUM(BN19:BO19)</f>
        <v>1228.5563947138069</v>
      </c>
    </row>
    <row r="20" spans="1:73" x14ac:dyDescent="0.2">
      <c r="A20" s="155" t="s">
        <v>64</v>
      </c>
      <c r="B20" s="35">
        <v>6.09</v>
      </c>
      <c r="C20" s="35">
        <v>5.91</v>
      </c>
      <c r="D20" s="35">
        <v>3.68</v>
      </c>
      <c r="E20" s="156">
        <f t="shared" ref="E20:E27" si="38">+AVERAGE(B20:D20)</f>
        <v>5.2266666666666666</v>
      </c>
      <c r="M20" s="1" t="s">
        <v>15</v>
      </c>
      <c r="N20" s="6">
        <v>197201</v>
      </c>
      <c r="O20" s="6">
        <v>6997</v>
      </c>
      <c r="P20" s="6">
        <v>204198</v>
      </c>
      <c r="Q20" s="6">
        <v>4349</v>
      </c>
      <c r="R20" s="6">
        <v>2197</v>
      </c>
      <c r="S20" s="6">
        <v>367</v>
      </c>
      <c r="T20" s="6">
        <f t="shared" si="23"/>
        <v>211111</v>
      </c>
      <c r="V20" s="1" t="s">
        <v>15</v>
      </c>
      <c r="W20" s="6">
        <f t="shared" si="24"/>
        <v>696776.8666666667</v>
      </c>
      <c r="X20" s="6">
        <f t="shared" si="25"/>
        <v>17725.733333333334</v>
      </c>
      <c r="Y20" s="36">
        <f t="shared" si="13"/>
        <v>626207.20000000007</v>
      </c>
      <c r="Z20" s="6">
        <f t="shared" si="14"/>
        <v>22730.773333333334</v>
      </c>
      <c r="AA20" s="6">
        <f t="shared" si="15"/>
        <v>18242.423333333332</v>
      </c>
      <c r="AB20" s="6">
        <f t="shared" si="16"/>
        <v>5347.1900000000005</v>
      </c>
      <c r="AC20" s="6">
        <f t="shared" si="26"/>
        <v>760822.98666666658</v>
      </c>
      <c r="AD20" s="37">
        <v>115700</v>
      </c>
      <c r="AE20" s="6">
        <f t="shared" si="0"/>
        <v>105960.36776771766</v>
      </c>
      <c r="AF20" s="6">
        <f t="shared" si="1"/>
        <v>2695.5906730052534</v>
      </c>
      <c r="AG20" s="36">
        <f t="shared" si="2"/>
        <v>95228.685659760333</v>
      </c>
      <c r="AH20" s="6">
        <f t="shared" si="3"/>
        <v>3456.7179498467317</v>
      </c>
      <c r="AI20" s="6">
        <f t="shared" si="4"/>
        <v>2774.1648407783823</v>
      </c>
      <c r="AJ20" s="6">
        <f t="shared" si="5"/>
        <v>813.15876865199527</v>
      </c>
      <c r="AL20" s="6">
        <f>+SUM('Firms Agri Trade Restaurants'!M21,'Firms Agri Trade Restaurants'!O21,'Firms Agri Trade Restaurants'!Q21)</f>
        <v>47000</v>
      </c>
      <c r="AM20" s="1" t="s">
        <v>15</v>
      </c>
      <c r="AN20" s="6">
        <f t="shared" si="17"/>
        <v>68700</v>
      </c>
      <c r="AO20" s="6">
        <f t="shared" si="6"/>
        <v>62916.830299414032</v>
      </c>
      <c r="AP20" s="6">
        <f t="shared" si="7"/>
        <v>1600.5797686729552</v>
      </c>
      <c r="AQ20" s="6">
        <f t="shared" si="8"/>
        <v>2052.5196469703583</v>
      </c>
      <c r="AR20" s="6">
        <f t="shared" si="9"/>
        <v>1647.2353030378122</v>
      </c>
      <c r="AS20" s="6">
        <f t="shared" si="10"/>
        <v>482.83498190485801</v>
      </c>
      <c r="AT20" s="36">
        <f t="shared" si="11"/>
        <v>56544.604190367631</v>
      </c>
      <c r="AV20" s="1" t="s">
        <v>15</v>
      </c>
      <c r="AW20" s="6">
        <f>+'Firms Agri Trade Restaurants'!C21</f>
        <v>150320</v>
      </c>
      <c r="AX20" s="6">
        <f t="shared" si="18"/>
        <v>667.01089148850338</v>
      </c>
      <c r="AY20" s="6">
        <f>+'Firms Agri Trade Restaurants'!AC21</f>
        <v>57955</v>
      </c>
      <c r="AZ20" s="6">
        <f>+AY20-'Firms Agri Trade Restaurants'!Z21</f>
        <v>3467</v>
      </c>
      <c r="BA20" s="6">
        <f>+'Firms Agri Trade Restaurants'!AG21</f>
        <v>7123</v>
      </c>
      <c r="BB20" s="6">
        <f>+BA20-'Firms Agri Trade Restaurants'!AD21</f>
        <v>1107</v>
      </c>
      <c r="BC20" s="6">
        <v>148740</v>
      </c>
      <c r="BD20" s="6">
        <v>660</v>
      </c>
      <c r="BF20" s="1" t="s">
        <v>15</v>
      </c>
      <c r="BG20" s="6">
        <f>+'Firms Agri Trade Restaurants'!N21</f>
        <v>0</v>
      </c>
      <c r="BH20" s="6">
        <f>+'Firms Agri Trade Restaurants'!P21</f>
        <v>0</v>
      </c>
      <c r="BI20" s="6">
        <f>+'Firms Agri Trade Restaurants'!R21</f>
        <v>0</v>
      </c>
      <c r="BJ20" s="6">
        <f t="shared" si="35"/>
        <v>528773.89485007396</v>
      </c>
      <c r="BK20" s="6">
        <f t="shared" si="36"/>
        <v>5774.0909506521439</v>
      </c>
      <c r="BL20" s="6">
        <f t="shared" si="27"/>
        <v>192524.26666666666</v>
      </c>
      <c r="BM20" s="6">
        <f t="shared" si="28"/>
        <v>30012.66333333333</v>
      </c>
      <c r="BN20" s="6">
        <f t="shared" si="29"/>
        <v>21256.533333333333</v>
      </c>
      <c r="BO20" s="6">
        <f t="shared" si="30"/>
        <v>9582.93</v>
      </c>
      <c r="BP20" s="6">
        <f t="shared" si="31"/>
        <v>0</v>
      </c>
      <c r="BQ20" s="6">
        <f t="shared" si="32"/>
        <v>0</v>
      </c>
      <c r="BR20" s="6">
        <f t="shared" si="33"/>
        <v>0</v>
      </c>
      <c r="BS20" s="6">
        <f t="shared" si="37"/>
        <v>0</v>
      </c>
      <c r="BT20" s="6">
        <f t="shared" si="34"/>
        <v>0</v>
      </c>
      <c r="BU20" s="6">
        <f t="shared" ref="BU20:BU30" si="39">+BI20*BO20/SUM(BN20:BO20)</f>
        <v>0</v>
      </c>
    </row>
    <row r="21" spans="1:73" x14ac:dyDescent="0.2">
      <c r="A21" s="155" t="s">
        <v>65</v>
      </c>
      <c r="B21" s="35">
        <v>7.92</v>
      </c>
      <c r="C21" s="35">
        <v>5.23</v>
      </c>
      <c r="D21" s="35">
        <v>3.43</v>
      </c>
      <c r="E21" s="156">
        <f t="shared" si="38"/>
        <v>5.5266666666666673</v>
      </c>
      <c r="M21" s="1" t="s">
        <v>16</v>
      </c>
      <c r="N21" s="6">
        <v>29951</v>
      </c>
      <c r="O21" s="6">
        <v>2212</v>
      </c>
      <c r="P21" s="6">
        <v>32163</v>
      </c>
      <c r="Q21" s="6">
        <v>1307</v>
      </c>
      <c r="R21" s="6">
        <v>709</v>
      </c>
      <c r="S21" s="6">
        <v>168</v>
      </c>
      <c r="T21" s="6">
        <f t="shared" si="23"/>
        <v>34347</v>
      </c>
      <c r="V21" s="1" t="s">
        <v>16</v>
      </c>
      <c r="W21" s="6">
        <f t="shared" si="24"/>
        <v>105826.86666666667</v>
      </c>
      <c r="X21" s="6">
        <f t="shared" si="25"/>
        <v>5603.7333333333327</v>
      </c>
      <c r="Y21" s="36">
        <f t="shared" si="13"/>
        <v>98633.200000000012</v>
      </c>
      <c r="Z21" s="6">
        <f t="shared" si="14"/>
        <v>6831.2533333333331</v>
      </c>
      <c r="AA21" s="6">
        <f t="shared" si="15"/>
        <v>5887.0633333333326</v>
      </c>
      <c r="AB21" s="6">
        <f t="shared" si="16"/>
        <v>2447.7600000000002</v>
      </c>
      <c r="AC21" s="6">
        <f t="shared" si="26"/>
        <v>126596.67666666667</v>
      </c>
      <c r="AD21" s="37">
        <v>12900</v>
      </c>
      <c r="AE21" s="6">
        <f t="shared" si="0"/>
        <v>10783.589395435156</v>
      </c>
      <c r="AF21" s="6">
        <f t="shared" si="1"/>
        <v>571.01151391467533</v>
      </c>
      <c r="AG21" s="36">
        <f t="shared" si="2"/>
        <v>10050.566203646791</v>
      </c>
      <c r="AH21" s="6">
        <f t="shared" si="3"/>
        <v>696.09384954102143</v>
      </c>
      <c r="AI21" s="6">
        <f t="shared" si="4"/>
        <v>599.88239027759619</v>
      </c>
      <c r="AJ21" s="6">
        <f t="shared" si="5"/>
        <v>249.42285083155031</v>
      </c>
      <c r="AL21" s="6">
        <f>+SUM('Firms Agri Trade Restaurants'!M22,'Firms Agri Trade Restaurants'!O22,'Firms Agri Trade Restaurants'!Q22)</f>
        <v>1700</v>
      </c>
      <c r="AM21" s="1" t="s">
        <v>16</v>
      </c>
      <c r="AN21" s="6">
        <f t="shared" si="17"/>
        <v>11200</v>
      </c>
      <c r="AO21" s="6">
        <f t="shared" si="6"/>
        <v>9362.4962192925377</v>
      </c>
      <c r="AP21" s="6">
        <f t="shared" si="7"/>
        <v>495.76193456157864</v>
      </c>
      <c r="AQ21" s="6">
        <f t="shared" si="8"/>
        <v>604.36055153949155</v>
      </c>
      <c r="AR21" s="6">
        <f t="shared" si="9"/>
        <v>520.82812179140137</v>
      </c>
      <c r="AS21" s="6">
        <f t="shared" si="10"/>
        <v>216.55317281498941</v>
      </c>
      <c r="AT21" s="36">
        <f t="shared" si="11"/>
        <v>8726.0729830111686</v>
      </c>
      <c r="AV21" s="1" t="s">
        <v>16</v>
      </c>
      <c r="AW21" s="6">
        <f>+'Firms Agri Trade Restaurants'!C22</f>
        <v>1970</v>
      </c>
      <c r="AX21" s="6">
        <f t="shared" si="18"/>
        <v>594.1269841269841</v>
      </c>
      <c r="AY21" s="6">
        <f>+'Firms Agri Trade Restaurants'!AC22</f>
        <v>7638</v>
      </c>
      <c r="AZ21" s="6">
        <f>+AY21-'Firms Agri Trade Restaurants'!Z22</f>
        <v>978</v>
      </c>
      <c r="BA21" s="6">
        <f>+'Firms Agri Trade Restaurants'!AG22</f>
        <v>2743</v>
      </c>
      <c r="BB21" s="6">
        <f>+BA21-'Firms Agri Trade Restaurants'!AD22</f>
        <v>491</v>
      </c>
      <c r="BC21" s="6">
        <v>1890</v>
      </c>
      <c r="BD21" s="6">
        <v>570</v>
      </c>
      <c r="BF21" s="1" t="s">
        <v>16</v>
      </c>
      <c r="BG21" s="6">
        <f>+'Firms Agri Trade Restaurants'!N22</f>
        <v>0</v>
      </c>
      <c r="BH21" s="6">
        <f>+'Firms Agri Trade Restaurants'!P22</f>
        <v>0</v>
      </c>
      <c r="BI21" s="6">
        <f>+'Firms Agri Trade Restaurants'!R22</f>
        <v>0</v>
      </c>
      <c r="BJ21" s="6">
        <f t="shared" si="35"/>
        <v>4861.4179894179897</v>
      </c>
      <c r="BK21" s="6">
        <f t="shared" si="36"/>
        <v>5143.1592592592588</v>
      </c>
      <c r="BL21" s="6">
        <f t="shared" si="27"/>
        <v>23532</v>
      </c>
      <c r="BM21" s="6">
        <f t="shared" si="28"/>
        <v>8466.2199999999993</v>
      </c>
      <c r="BN21" s="6">
        <f t="shared" si="29"/>
        <v>7957.0666666666666</v>
      </c>
      <c r="BO21" s="6">
        <f t="shared" si="30"/>
        <v>4250.4233333333332</v>
      </c>
      <c r="BP21" s="6">
        <f t="shared" si="31"/>
        <v>0</v>
      </c>
      <c r="BQ21" s="6">
        <f t="shared" si="32"/>
        <v>0</v>
      </c>
      <c r="BR21" s="6">
        <f t="shared" si="33"/>
        <v>0</v>
      </c>
      <c r="BS21" s="6">
        <f t="shared" si="37"/>
        <v>0</v>
      </c>
      <c r="BT21" s="6">
        <f t="shared" si="34"/>
        <v>0</v>
      </c>
      <c r="BU21" s="6">
        <f t="shared" si="39"/>
        <v>0</v>
      </c>
    </row>
    <row r="22" spans="1:73" x14ac:dyDescent="0.2">
      <c r="A22" s="155" t="s">
        <v>66</v>
      </c>
      <c r="B22" s="35">
        <v>16.350000000000001</v>
      </c>
      <c r="C22" s="35">
        <v>12.63</v>
      </c>
      <c r="D22" s="35">
        <v>8.74</v>
      </c>
      <c r="E22" s="156">
        <f t="shared" si="38"/>
        <v>12.573333333333336</v>
      </c>
      <c r="M22" s="1" t="s">
        <v>17</v>
      </c>
      <c r="N22" s="6">
        <v>102750</v>
      </c>
      <c r="O22" s="6">
        <v>5237</v>
      </c>
      <c r="P22" s="6">
        <v>107987</v>
      </c>
      <c r="Q22" s="6">
        <v>3070</v>
      </c>
      <c r="R22" s="6">
        <v>1462</v>
      </c>
      <c r="S22" s="6">
        <v>209</v>
      </c>
      <c r="T22" s="6">
        <f t="shared" si="23"/>
        <v>112728</v>
      </c>
      <c r="V22" s="1" t="s">
        <v>17</v>
      </c>
      <c r="W22" s="6">
        <f t="shared" si="24"/>
        <v>363050</v>
      </c>
      <c r="X22" s="6">
        <f t="shared" si="25"/>
        <v>13267.066666666666</v>
      </c>
      <c r="Y22" s="36">
        <f t="shared" si="13"/>
        <v>331160.13333333336</v>
      </c>
      <c r="Z22" s="6">
        <f t="shared" si="14"/>
        <v>16045.866666666667</v>
      </c>
      <c r="AA22" s="6">
        <f t="shared" si="15"/>
        <v>12139.473333333333</v>
      </c>
      <c r="AB22" s="6">
        <f t="shared" si="16"/>
        <v>3045.1300000000006</v>
      </c>
      <c r="AC22" s="6">
        <f t="shared" si="26"/>
        <v>407547.53666666662</v>
      </c>
      <c r="AD22" s="37">
        <v>62600</v>
      </c>
      <c r="AE22" s="6">
        <f t="shared" si="0"/>
        <v>55765.102117617193</v>
      </c>
      <c r="AF22" s="6">
        <f t="shared" si="1"/>
        <v>2037.8441742677364</v>
      </c>
      <c r="AG22" s="36">
        <f t="shared" si="2"/>
        <v>50866.763951568813</v>
      </c>
      <c r="AH22" s="6">
        <f t="shared" si="3"/>
        <v>2464.6726159821965</v>
      </c>
      <c r="AI22" s="6">
        <f t="shared" si="4"/>
        <v>1864.6439060389039</v>
      </c>
      <c r="AJ22" s="6">
        <f t="shared" si="5"/>
        <v>467.7371860939806</v>
      </c>
      <c r="AL22" s="6">
        <f>+SUM('Firms Agri Trade Restaurants'!M23,'Firms Agri Trade Restaurants'!O23,'Firms Agri Trade Restaurants'!Q23)</f>
        <v>24700</v>
      </c>
      <c r="AM22" s="1" t="s">
        <v>17</v>
      </c>
      <c r="AN22" s="6">
        <f t="shared" si="17"/>
        <v>37900</v>
      </c>
      <c r="AO22" s="6">
        <f t="shared" si="6"/>
        <v>33761.938822007854</v>
      </c>
      <c r="AP22" s="6">
        <f t="shared" si="7"/>
        <v>1233.7746678074634</v>
      </c>
      <c r="AQ22" s="6">
        <f t="shared" si="8"/>
        <v>1492.1899703789977</v>
      </c>
      <c r="AR22" s="6">
        <f t="shared" si="9"/>
        <v>1128.9138025379307</v>
      </c>
      <c r="AS22" s="6">
        <f t="shared" si="10"/>
        <v>283.18273726776141</v>
      </c>
      <c r="AT22" s="36">
        <f t="shared" si="11"/>
        <v>30796.331529783674</v>
      </c>
      <c r="AV22" s="1" t="s">
        <v>17</v>
      </c>
      <c r="AW22" s="6">
        <f>+'Firms Agri Trade Restaurants'!C23</f>
        <v>69930</v>
      </c>
      <c r="AX22" s="6">
        <f t="shared" si="18"/>
        <v>771.54463390170508</v>
      </c>
      <c r="AY22" s="6">
        <f>+'Firms Agri Trade Restaurants'!AC23</f>
        <v>26832</v>
      </c>
      <c r="AZ22" s="6">
        <f>+AY22-'Firms Agri Trade Restaurants'!Z23</f>
        <v>2405</v>
      </c>
      <c r="BA22" s="6">
        <f>+'Firms Agri Trade Restaurants'!AG23</f>
        <v>4128</v>
      </c>
      <c r="BB22" s="6">
        <f>+BA22-'Firms Agri Trade Restaurants'!AD23</f>
        <v>921</v>
      </c>
      <c r="BC22" s="6">
        <v>69790</v>
      </c>
      <c r="BD22" s="6">
        <v>770</v>
      </c>
      <c r="BF22" s="1" t="s">
        <v>17</v>
      </c>
      <c r="BG22" s="6">
        <f>+'Firms Agri Trade Restaurants'!N23</f>
        <v>0</v>
      </c>
      <c r="BH22" s="6">
        <f>+'Firms Agri Trade Restaurants'!P23</f>
        <v>0</v>
      </c>
      <c r="BI22" s="6">
        <f>+'Firms Agri Trade Restaurants'!R23</f>
        <v>0</v>
      </c>
      <c r="BJ22" s="6">
        <f t="shared" si="35"/>
        <v>244359.87562688062</v>
      </c>
      <c r="BK22" s="6">
        <f t="shared" si="36"/>
        <v>6679.0047141424266</v>
      </c>
      <c r="BL22" s="6">
        <f t="shared" si="27"/>
        <v>86308.733333333337</v>
      </c>
      <c r="BM22" s="6">
        <f t="shared" si="28"/>
        <v>20819.283333333333</v>
      </c>
      <c r="BN22" s="6">
        <f t="shared" si="29"/>
        <v>11331.4</v>
      </c>
      <c r="BO22" s="6">
        <f t="shared" si="30"/>
        <v>7972.79</v>
      </c>
      <c r="BP22" s="6">
        <f t="shared" si="31"/>
        <v>0</v>
      </c>
      <c r="BQ22" s="6">
        <f t="shared" si="32"/>
        <v>0</v>
      </c>
      <c r="BR22" s="6">
        <f t="shared" si="33"/>
        <v>0</v>
      </c>
      <c r="BS22" s="6">
        <f t="shared" si="37"/>
        <v>0</v>
      </c>
      <c r="BT22" s="6">
        <f t="shared" si="34"/>
        <v>0</v>
      </c>
      <c r="BU22" s="6">
        <f t="shared" si="39"/>
        <v>0</v>
      </c>
    </row>
    <row r="23" spans="1:73" x14ac:dyDescent="0.2">
      <c r="A23" s="155" t="s">
        <v>68</v>
      </c>
      <c r="B23" s="35">
        <v>11.87</v>
      </c>
      <c r="C23" s="35">
        <v>8.91</v>
      </c>
      <c r="D23" s="35">
        <v>7.66</v>
      </c>
      <c r="E23" s="158">
        <f t="shared" si="38"/>
        <v>9.48</v>
      </c>
      <c r="M23" s="1" t="s">
        <v>18</v>
      </c>
      <c r="N23" s="6">
        <v>29455</v>
      </c>
      <c r="O23" s="6">
        <v>1183</v>
      </c>
      <c r="P23" s="6">
        <v>30638</v>
      </c>
      <c r="Q23" s="6">
        <v>696</v>
      </c>
      <c r="R23" s="6">
        <v>364</v>
      </c>
      <c r="S23" s="6">
        <v>68</v>
      </c>
      <c r="T23" s="6">
        <f t="shared" si="23"/>
        <v>31766</v>
      </c>
      <c r="V23" s="1" t="s">
        <v>18</v>
      </c>
      <c r="W23" s="6">
        <f t="shared" si="24"/>
        <v>104074.33333333333</v>
      </c>
      <c r="X23" s="6">
        <f t="shared" si="25"/>
        <v>2996.9333333333334</v>
      </c>
      <c r="Y23" s="36">
        <f t="shared" si="13"/>
        <v>93956.53333333334</v>
      </c>
      <c r="Z23" s="6">
        <f t="shared" si="14"/>
        <v>3637.7599999999998</v>
      </c>
      <c r="AA23" s="6">
        <f t="shared" si="15"/>
        <v>3022.413333333333</v>
      </c>
      <c r="AB23" s="6">
        <f t="shared" si="16"/>
        <v>990.7600000000001</v>
      </c>
      <c r="AC23" s="6">
        <f t="shared" si="26"/>
        <v>114722.19999999998</v>
      </c>
      <c r="AD23" s="37">
        <v>27200</v>
      </c>
      <c r="AE23" s="6">
        <f t="shared" si="0"/>
        <v>24675.449622363125</v>
      </c>
      <c r="AF23" s="6">
        <f t="shared" si="1"/>
        <v>710.5563410278628</v>
      </c>
      <c r="AG23" s="36">
        <f t="shared" si="2"/>
        <v>22276.575123791798</v>
      </c>
      <c r="AH23" s="6">
        <f t="shared" si="3"/>
        <v>862.49280435695982</v>
      </c>
      <c r="AI23" s="6">
        <f t="shared" si="4"/>
        <v>716.59750829975951</v>
      </c>
      <c r="AJ23" s="6">
        <f t="shared" si="5"/>
        <v>234.90372395229525</v>
      </c>
      <c r="AL23" s="6">
        <f>+SUM('Firms Agri Trade Restaurants'!M24,'Firms Agri Trade Restaurants'!O24,'Firms Agri Trade Restaurants'!Q24)</f>
        <v>8000</v>
      </c>
      <c r="AM23" s="1" t="s">
        <v>18</v>
      </c>
      <c r="AN23" s="6">
        <f t="shared" si="17"/>
        <v>19200</v>
      </c>
      <c r="AO23" s="6">
        <f t="shared" si="6"/>
        <v>17417.964439315147</v>
      </c>
      <c r="AP23" s="6">
        <f t="shared" si="7"/>
        <v>501.56918190202077</v>
      </c>
      <c r="AQ23" s="6">
        <f t="shared" si="8"/>
        <v>608.81845013432462</v>
      </c>
      <c r="AR23" s="6">
        <f t="shared" si="9"/>
        <v>505.83353527041851</v>
      </c>
      <c r="AS23" s="6">
        <f t="shared" si="10"/>
        <v>165.81439337809078</v>
      </c>
      <c r="AT23" s="36">
        <f t="shared" si="11"/>
        <v>15724.641263853033</v>
      </c>
      <c r="AV23" s="1" t="s">
        <v>18</v>
      </c>
      <c r="AW23" s="6">
        <f>+'Firms Agri Trade Restaurants'!C24</f>
        <v>9210</v>
      </c>
      <c r="AX23" s="6">
        <f t="shared" si="18"/>
        <v>51.166666666666664</v>
      </c>
      <c r="AY23" s="6">
        <f>+'Firms Agri Trade Restaurants'!AC24</f>
        <v>9145</v>
      </c>
      <c r="AZ23" s="6">
        <f>+AY23-'Firms Agri Trade Restaurants'!Z24</f>
        <v>620</v>
      </c>
      <c r="BA23" s="6">
        <f>+'Firms Agri Trade Restaurants'!AG24</f>
        <v>2732</v>
      </c>
      <c r="BB23" s="6">
        <f>+BA23-'Firms Agri Trade Restaurants'!AD24</f>
        <v>365</v>
      </c>
      <c r="BC23" s="6">
        <v>9000</v>
      </c>
      <c r="BD23" s="6">
        <v>50</v>
      </c>
      <c r="BF23" s="1" t="s">
        <v>18</v>
      </c>
      <c r="BG23" s="6">
        <f>+'Firms Agri Trade Restaurants'!N24</f>
        <v>0</v>
      </c>
      <c r="BH23" s="6">
        <f>+'Firms Agri Trade Restaurants'!P24</f>
        <v>357</v>
      </c>
      <c r="BI23" s="6">
        <f>+'Firms Agri Trade Restaurants'!R24</f>
        <v>168</v>
      </c>
      <c r="BJ23" s="6">
        <f t="shared" si="35"/>
        <v>32361.211111111112</v>
      </c>
      <c r="BK23" s="6">
        <f t="shared" si="36"/>
        <v>442.93277777777774</v>
      </c>
      <c r="BL23" s="6">
        <f t="shared" si="27"/>
        <v>30121.666666666664</v>
      </c>
      <c r="BM23" s="6">
        <f t="shared" si="28"/>
        <v>5367.1333333333332</v>
      </c>
      <c r="BN23" s="6">
        <f t="shared" si="29"/>
        <v>8363.4</v>
      </c>
      <c r="BO23" s="6">
        <f t="shared" si="30"/>
        <v>3159.6833333333334</v>
      </c>
      <c r="BP23" s="6">
        <f t="shared" si="31"/>
        <v>0</v>
      </c>
      <c r="BQ23" s="6">
        <f t="shared" si="32"/>
        <v>303.0092592592593</v>
      </c>
      <c r="BR23" s="6">
        <f t="shared" si="33"/>
        <v>121.93361441165199</v>
      </c>
      <c r="BS23" s="6">
        <f t="shared" si="37"/>
        <v>0</v>
      </c>
      <c r="BT23" s="6">
        <f t="shared" si="34"/>
        <v>53.99074074074074</v>
      </c>
      <c r="BU23" s="6">
        <f t="shared" si="39"/>
        <v>46.066385588348034</v>
      </c>
    </row>
    <row r="24" spans="1:73" x14ac:dyDescent="0.2">
      <c r="A24" s="155" t="s">
        <v>69</v>
      </c>
      <c r="B24" s="157">
        <v>19.3</v>
      </c>
      <c r="C24" s="35">
        <v>14.96</v>
      </c>
      <c r="D24" s="35">
        <v>9.4499999999999993</v>
      </c>
      <c r="E24" s="158">
        <f t="shared" si="38"/>
        <v>14.570000000000002</v>
      </c>
      <c r="M24" s="1" t="s">
        <v>19</v>
      </c>
      <c r="N24" s="6">
        <v>1170482</v>
      </c>
      <c r="O24" s="6">
        <v>26136</v>
      </c>
      <c r="P24" s="6">
        <v>1196618</v>
      </c>
      <c r="Q24" s="6">
        <v>16205</v>
      </c>
      <c r="R24" s="6">
        <v>8912</v>
      </c>
      <c r="S24" s="6">
        <v>1756</v>
      </c>
      <c r="T24" s="6">
        <f t="shared" si="23"/>
        <v>1223491</v>
      </c>
      <c r="V24" s="1" t="s">
        <v>19</v>
      </c>
      <c r="W24" s="6">
        <f t="shared" si="24"/>
        <v>4135703.0666666664</v>
      </c>
      <c r="X24" s="6">
        <f t="shared" si="25"/>
        <v>66211.199999999997</v>
      </c>
      <c r="Y24" s="36">
        <f t="shared" si="13"/>
        <v>3669628.5333333337</v>
      </c>
      <c r="Z24" s="6">
        <f t="shared" si="14"/>
        <v>84698.133333333331</v>
      </c>
      <c r="AA24" s="6">
        <f t="shared" si="15"/>
        <v>73999.306666666656</v>
      </c>
      <c r="AB24" s="6">
        <f t="shared" si="16"/>
        <v>25584.920000000002</v>
      </c>
      <c r="AC24" s="6">
        <f t="shared" si="26"/>
        <v>4386196.6266666669</v>
      </c>
      <c r="AD24" s="37">
        <v>1100700</v>
      </c>
      <c r="AE24" s="6">
        <f t="shared" si="0"/>
        <v>1037839.5573523262</v>
      </c>
      <c r="AF24" s="6">
        <f t="shared" si="1"/>
        <v>16615.458458228048</v>
      </c>
      <c r="AG24" s="36">
        <f t="shared" si="2"/>
        <v>920879.85798064864</v>
      </c>
      <c r="AH24" s="6">
        <f t="shared" si="3"/>
        <v>21254.686758274434</v>
      </c>
      <c r="AI24" s="6">
        <f t="shared" si="4"/>
        <v>18569.855339544934</v>
      </c>
      <c r="AJ24" s="6">
        <f t="shared" si="5"/>
        <v>6420.4420916263107</v>
      </c>
      <c r="AL24" s="6">
        <f>+SUM('Firms Agri Trade Restaurants'!M25,'Firms Agri Trade Restaurants'!O25,'Firms Agri Trade Restaurants'!Q25)</f>
        <v>171000</v>
      </c>
      <c r="AM24" s="1" t="s">
        <v>19</v>
      </c>
      <c r="AN24" s="6">
        <f t="shared" si="17"/>
        <v>929700</v>
      </c>
      <c r="AO24" s="6">
        <f t="shared" si="6"/>
        <v>876605.28433765576</v>
      </c>
      <c r="AP24" s="6">
        <f t="shared" si="7"/>
        <v>14034.152565289922</v>
      </c>
      <c r="AQ24" s="6">
        <f t="shared" si="8"/>
        <v>17952.650385361805</v>
      </c>
      <c r="AR24" s="6">
        <f t="shared" si="9"/>
        <v>15684.922784750546</v>
      </c>
      <c r="AS24" s="6">
        <f t="shared" si="10"/>
        <v>5422.9899269419284</v>
      </c>
      <c r="AT24" s="36">
        <f t="shared" si="11"/>
        <v>777815.93891578901</v>
      </c>
      <c r="AV24" s="1" t="s">
        <v>19</v>
      </c>
      <c r="AW24" s="6">
        <f>+'Firms Agri Trade Restaurants'!C25</f>
        <v>55680</v>
      </c>
      <c r="AX24" s="6">
        <f t="shared" si="18"/>
        <v>25880.349040139616</v>
      </c>
      <c r="AY24" s="6">
        <f>+'Firms Agri Trade Restaurants'!AC25</f>
        <v>254395</v>
      </c>
      <c r="AZ24" s="6">
        <f>+AY24-'Firms Agri Trade Restaurants'!Z25</f>
        <v>14325</v>
      </c>
      <c r="BA24" s="6">
        <f>+'Firms Agri Trade Restaurants'!AG25</f>
        <v>62773</v>
      </c>
      <c r="BB24" s="6">
        <f>+BA24-'Firms Agri Trade Restaurants'!AD25</f>
        <v>5203</v>
      </c>
      <c r="BC24" s="6">
        <v>51570</v>
      </c>
      <c r="BD24" s="6">
        <v>23970</v>
      </c>
      <c r="BF24" s="1" t="s">
        <v>19</v>
      </c>
      <c r="BG24" s="6">
        <f>+'Firms Agri Trade Restaurants'!N25</f>
        <v>24220</v>
      </c>
      <c r="BH24" s="6">
        <f>+'Firms Agri Trade Restaurants'!P25</f>
        <v>0</v>
      </c>
      <c r="BI24" s="6">
        <f>+'Firms Agri Trade Restaurants'!R25</f>
        <v>0</v>
      </c>
      <c r="BJ24" s="6">
        <f t="shared" si="35"/>
        <v>105292.10005817335</v>
      </c>
      <c r="BK24" s="6">
        <f t="shared" si="36"/>
        <v>224037.55485747528</v>
      </c>
      <c r="BL24" s="6">
        <f t="shared" si="27"/>
        <v>848247.33333333326</v>
      </c>
      <c r="BM24" s="6">
        <f t="shared" si="28"/>
        <v>124006.75</v>
      </c>
      <c r="BN24" s="6">
        <f t="shared" si="29"/>
        <v>203414</v>
      </c>
      <c r="BO24" s="6">
        <f t="shared" si="30"/>
        <v>45040.636666666665</v>
      </c>
      <c r="BP24" s="6">
        <f t="shared" si="31"/>
        <v>7743.5318239474545</v>
      </c>
      <c r="BQ24" s="6">
        <f t="shared" si="32"/>
        <v>0</v>
      </c>
      <c r="BR24" s="6">
        <f t="shared" si="33"/>
        <v>0</v>
      </c>
      <c r="BS24" s="6">
        <f t="shared" si="37"/>
        <v>16476.468176052545</v>
      </c>
      <c r="BT24" s="6">
        <f t="shared" si="34"/>
        <v>0</v>
      </c>
      <c r="BU24" s="6">
        <f t="shared" si="39"/>
        <v>0</v>
      </c>
    </row>
    <row r="25" spans="1:73" x14ac:dyDescent="0.2">
      <c r="A25" s="155" t="s">
        <v>73</v>
      </c>
      <c r="B25" s="157">
        <v>10.7</v>
      </c>
      <c r="C25" s="35">
        <v>7.84</v>
      </c>
      <c r="D25" s="35">
        <v>6.37</v>
      </c>
      <c r="E25" s="156">
        <f t="shared" si="38"/>
        <v>8.3033333333333328</v>
      </c>
      <c r="M25" s="1" t="s">
        <v>20</v>
      </c>
      <c r="N25" s="6">
        <v>1858814</v>
      </c>
      <c r="O25" s="6">
        <v>51598</v>
      </c>
      <c r="P25" s="6">
        <v>1910412</v>
      </c>
      <c r="Q25" s="6">
        <v>31111</v>
      </c>
      <c r="R25" s="6">
        <v>15474</v>
      </c>
      <c r="S25" s="6">
        <v>3364</v>
      </c>
      <c r="T25" s="6">
        <f t="shared" si="23"/>
        <v>1960361</v>
      </c>
      <c r="V25" s="1" t="s">
        <v>20</v>
      </c>
      <c r="W25" s="6">
        <f t="shared" si="24"/>
        <v>6567809.4666666668</v>
      </c>
      <c r="X25" s="6">
        <f t="shared" si="25"/>
        <v>130714.93333333333</v>
      </c>
      <c r="Y25" s="36">
        <f t="shared" si="13"/>
        <v>5858596.8000000007</v>
      </c>
      <c r="Z25" s="6">
        <f t="shared" si="14"/>
        <v>162606.82666666666</v>
      </c>
      <c r="AA25" s="6">
        <f t="shared" si="15"/>
        <v>128485.78</v>
      </c>
      <c r="AB25" s="6">
        <f t="shared" si="16"/>
        <v>49013.48000000001</v>
      </c>
      <c r="AC25" s="6">
        <f t="shared" si="26"/>
        <v>7038630.4866666673</v>
      </c>
      <c r="AD25" s="37">
        <v>2267100</v>
      </c>
      <c r="AE25" s="6">
        <f t="shared" si="0"/>
        <v>2115451.4177276413</v>
      </c>
      <c r="AF25" s="6">
        <f t="shared" si="1"/>
        <v>42102.483703522499</v>
      </c>
      <c r="AG25" s="36">
        <f t="shared" si="2"/>
        <v>1887018.3383600325</v>
      </c>
      <c r="AH25" s="6">
        <f t="shared" si="3"/>
        <v>52374.668258879181</v>
      </c>
      <c r="AI25" s="6">
        <f t="shared" si="4"/>
        <v>41384.486994990453</v>
      </c>
      <c r="AJ25" s="6">
        <f t="shared" si="5"/>
        <v>15786.943314966256</v>
      </c>
      <c r="AL25" s="6">
        <f>+SUM('Firms Agri Trade Restaurants'!M26,'Firms Agri Trade Restaurants'!O26,'Firms Agri Trade Restaurants'!Q26)</f>
        <v>1272500</v>
      </c>
      <c r="AM25" s="1" t="s">
        <v>20</v>
      </c>
      <c r="AN25" s="6">
        <f t="shared" si="17"/>
        <v>994600</v>
      </c>
      <c r="AO25" s="6">
        <f t="shared" si="6"/>
        <v>928070.2130792255</v>
      </c>
      <c r="AP25" s="6">
        <f t="shared" si="7"/>
        <v>18470.791006803174</v>
      </c>
      <c r="AQ25" s="6">
        <f t="shared" si="8"/>
        <v>22977.303625901477</v>
      </c>
      <c r="AR25" s="6">
        <f t="shared" si="9"/>
        <v>18155.79849376627</v>
      </c>
      <c r="AS25" s="6">
        <f t="shared" si="10"/>
        <v>6925.8937943034889</v>
      </c>
      <c r="AT25" s="36">
        <f t="shared" si="11"/>
        <v>827854.28050500131</v>
      </c>
      <c r="AV25" s="1" t="s">
        <v>20</v>
      </c>
      <c r="AW25" s="6">
        <f>+'Firms Agri Trade Restaurants'!C26</f>
        <v>1410700</v>
      </c>
      <c r="AX25" s="6">
        <f t="shared" si="18"/>
        <v>7730.0573094711444</v>
      </c>
      <c r="AY25" s="6">
        <f>+'Firms Agri Trade Restaurants'!AC26</f>
        <v>544769</v>
      </c>
      <c r="AZ25" s="6">
        <f>+AY25-'Firms Agri Trade Restaurants'!Z26</f>
        <v>26926</v>
      </c>
      <c r="BA25" s="6">
        <f>+'Firms Agri Trade Restaurants'!AG26</f>
        <v>67601</v>
      </c>
      <c r="BB25" s="6">
        <f>+BA25-'Firms Agri Trade Restaurants'!AD26</f>
        <v>4296</v>
      </c>
      <c r="BC25" s="6">
        <v>1392440</v>
      </c>
      <c r="BD25" s="6">
        <v>7630</v>
      </c>
      <c r="BF25" s="1" t="s">
        <v>20</v>
      </c>
      <c r="BG25" s="6">
        <f>+'Firms Agri Trade Restaurants'!N26</f>
        <v>0</v>
      </c>
      <c r="BH25" s="6">
        <f>+'Firms Agri Trade Restaurants'!P26</f>
        <v>0</v>
      </c>
      <c r="BI25" s="6">
        <f>+'Firms Agri Trade Restaurants'!R26</f>
        <v>0</v>
      </c>
      <c r="BJ25" s="6">
        <f t="shared" si="35"/>
        <v>4957160.4641732024</v>
      </c>
      <c r="BK25" s="6">
        <f t="shared" si="36"/>
        <v>66916.529442321873</v>
      </c>
      <c r="BL25" s="6">
        <f t="shared" si="27"/>
        <v>1829711.9333333333</v>
      </c>
      <c r="BM25" s="6">
        <f t="shared" si="28"/>
        <v>233089.40666666665</v>
      </c>
      <c r="BN25" s="6">
        <f t="shared" si="29"/>
        <v>223677.66666666666</v>
      </c>
      <c r="BO25" s="6">
        <f t="shared" si="30"/>
        <v>37189.040000000001</v>
      </c>
      <c r="BP25" s="6">
        <f t="shared" si="31"/>
        <v>0</v>
      </c>
      <c r="BQ25" s="6">
        <f t="shared" si="32"/>
        <v>0</v>
      </c>
      <c r="BR25" s="6">
        <f t="shared" si="33"/>
        <v>0</v>
      </c>
      <c r="BS25" s="6">
        <f t="shared" si="37"/>
        <v>0</v>
      </c>
      <c r="BT25" s="6">
        <f t="shared" si="34"/>
        <v>0</v>
      </c>
      <c r="BU25" s="6">
        <f t="shared" si="39"/>
        <v>0</v>
      </c>
    </row>
    <row r="26" spans="1:73" x14ac:dyDescent="0.2">
      <c r="A26" s="155" t="s">
        <v>145</v>
      </c>
      <c r="B26" s="35">
        <v>9.6199999999999992</v>
      </c>
      <c r="C26" s="35">
        <v>7.83</v>
      </c>
      <c r="D26" s="157">
        <v>5.5</v>
      </c>
      <c r="E26" s="158">
        <f t="shared" si="38"/>
        <v>7.6499999999999995</v>
      </c>
      <c r="M26" s="1" t="s">
        <v>21</v>
      </c>
      <c r="N26" s="6">
        <v>852566</v>
      </c>
      <c r="O26" s="6">
        <v>23731</v>
      </c>
      <c r="P26" s="6">
        <v>876297</v>
      </c>
      <c r="Q26" s="6">
        <v>12886</v>
      </c>
      <c r="R26" s="6">
        <v>5745</v>
      </c>
      <c r="S26" s="6">
        <v>920</v>
      </c>
      <c r="T26" s="6">
        <f t="shared" si="23"/>
        <v>895848</v>
      </c>
      <c r="V26" s="1" t="s">
        <v>21</v>
      </c>
      <c r="W26" s="6">
        <f t="shared" si="24"/>
        <v>3012399.8666666667</v>
      </c>
      <c r="X26" s="6">
        <f t="shared" si="25"/>
        <v>60118.533333333333</v>
      </c>
      <c r="Y26" s="36">
        <f t="shared" si="13"/>
        <v>2687310.8000000003</v>
      </c>
      <c r="Z26" s="6">
        <f t="shared" si="14"/>
        <v>67350.82666666666</v>
      </c>
      <c r="AA26" s="6">
        <f t="shared" si="15"/>
        <v>47702.649999999994</v>
      </c>
      <c r="AB26" s="6">
        <f t="shared" si="16"/>
        <v>13404.400000000001</v>
      </c>
      <c r="AC26" s="6">
        <f t="shared" si="26"/>
        <v>3200976.2766666664</v>
      </c>
      <c r="AD26" s="37">
        <v>522500</v>
      </c>
      <c r="AE26" s="6">
        <f t="shared" si="0"/>
        <v>491718.39910428663</v>
      </c>
      <c r="AF26" s="6">
        <f t="shared" si="1"/>
        <v>9813.2353856047484</v>
      </c>
      <c r="AG26" s="36">
        <f t="shared" si="2"/>
        <v>438653.63927725801</v>
      </c>
      <c r="AH26" s="6">
        <f t="shared" si="3"/>
        <v>10993.773115363179</v>
      </c>
      <c r="AI26" s="6">
        <f t="shared" si="4"/>
        <v>7786.5727424119623</v>
      </c>
      <c r="AJ26" s="6">
        <f t="shared" si="5"/>
        <v>2188.0196523335062</v>
      </c>
      <c r="AL26" s="6">
        <f>+SUM('Firms Agri Trade Restaurants'!M27,'Firms Agri Trade Restaurants'!O27,'Firms Agri Trade Restaurants'!Q27)</f>
        <v>233500</v>
      </c>
      <c r="AM26" s="1" t="s">
        <v>21</v>
      </c>
      <c r="AN26" s="6">
        <f t="shared" si="17"/>
        <v>289000</v>
      </c>
      <c r="AO26" s="6">
        <f t="shared" si="6"/>
        <v>271974.38725576806</v>
      </c>
      <c r="AP26" s="6">
        <f t="shared" si="7"/>
        <v>5427.7990936646356</v>
      </c>
      <c r="AQ26" s="6">
        <f t="shared" si="8"/>
        <v>6080.7663738563806</v>
      </c>
      <c r="AR26" s="6">
        <f t="shared" si="9"/>
        <v>4306.8316221187688</v>
      </c>
      <c r="AS26" s="6">
        <f t="shared" si="10"/>
        <v>1210.2156545921212</v>
      </c>
      <c r="AT26" s="36">
        <f t="shared" si="11"/>
        <v>242623.73540885659</v>
      </c>
      <c r="AV26" s="1" t="s">
        <v>21</v>
      </c>
      <c r="AW26" s="6">
        <f>+'Firms Agri Trade Restaurants'!C27</f>
        <v>258980</v>
      </c>
      <c r="AX26" s="6">
        <f t="shared" si="18"/>
        <v>1378.280723136299</v>
      </c>
      <c r="AY26" s="6">
        <f>+'Firms Agri Trade Restaurants'!AC27</f>
        <v>217831</v>
      </c>
      <c r="AZ26" s="6">
        <f>+AY26-'Firms Agri Trade Restaurants'!Z27</f>
        <v>10231</v>
      </c>
      <c r="BA26" s="6">
        <f>+'Firms Agri Trade Restaurants'!AG27</f>
        <v>113191</v>
      </c>
      <c r="BB26" s="6">
        <f>+BA26-'Firms Agri Trade Restaurants'!AD27</f>
        <v>5731</v>
      </c>
      <c r="BC26" s="6">
        <v>246150</v>
      </c>
      <c r="BD26" s="6">
        <v>1310</v>
      </c>
      <c r="BF26" s="1" t="s">
        <v>21</v>
      </c>
      <c r="BG26" s="6">
        <f>+'Firms Agri Trade Restaurants'!N27</f>
        <v>0</v>
      </c>
      <c r="BH26" s="6">
        <f>+'Firms Agri Trade Restaurants'!P27</f>
        <v>0</v>
      </c>
      <c r="BI26" s="6">
        <f>+'Firms Agri Trade Restaurants'!R27</f>
        <v>0</v>
      </c>
      <c r="BJ26" s="6">
        <f t="shared" si="35"/>
        <v>910192.74144491844</v>
      </c>
      <c r="BK26" s="6">
        <f t="shared" si="36"/>
        <v>11931.316793283228</v>
      </c>
      <c r="BL26" s="6">
        <f t="shared" si="27"/>
        <v>733520</v>
      </c>
      <c r="BM26" s="6">
        <f t="shared" si="28"/>
        <v>88566.356666666659</v>
      </c>
      <c r="BN26" s="6">
        <f t="shared" si="29"/>
        <v>379692</v>
      </c>
      <c r="BO26" s="6">
        <f t="shared" si="30"/>
        <v>49611.356666666667</v>
      </c>
      <c r="BP26" s="6">
        <f t="shared" si="31"/>
        <v>0</v>
      </c>
      <c r="BQ26" s="6">
        <f t="shared" si="32"/>
        <v>0</v>
      </c>
      <c r="BR26" s="6">
        <f t="shared" si="33"/>
        <v>0</v>
      </c>
      <c r="BS26" s="6">
        <f t="shared" si="37"/>
        <v>0</v>
      </c>
      <c r="BT26" s="6">
        <f t="shared" si="34"/>
        <v>0</v>
      </c>
      <c r="BU26" s="6">
        <f t="shared" si="39"/>
        <v>0</v>
      </c>
    </row>
    <row r="27" spans="1:73" ht="12" thickBot="1" x14ac:dyDescent="0.25">
      <c r="A27" s="159" t="s">
        <v>184</v>
      </c>
      <c r="B27" s="160">
        <v>11.02</v>
      </c>
      <c r="C27" s="160">
        <v>8.89</v>
      </c>
      <c r="D27" s="160">
        <v>6.06</v>
      </c>
      <c r="E27" s="161">
        <f t="shared" si="38"/>
        <v>8.6566666666666663</v>
      </c>
      <c r="M27" s="1" t="s">
        <v>22</v>
      </c>
      <c r="N27" s="6">
        <v>448714</v>
      </c>
      <c r="O27" s="6">
        <v>27196</v>
      </c>
      <c r="P27" s="6">
        <v>475910</v>
      </c>
      <c r="Q27" s="6">
        <v>16447</v>
      </c>
      <c r="R27" s="6">
        <v>7955</v>
      </c>
      <c r="S27" s="6">
        <v>1662</v>
      </c>
      <c r="T27" s="6">
        <f t="shared" si="23"/>
        <v>501974</v>
      </c>
      <c r="V27" s="1" t="s">
        <v>22</v>
      </c>
      <c r="W27" s="6">
        <f t="shared" si="24"/>
        <v>1585456.1333333333</v>
      </c>
      <c r="X27" s="6">
        <f t="shared" si="25"/>
        <v>68896.533333333326</v>
      </c>
      <c r="Y27" s="36">
        <f t="shared" si="13"/>
        <v>1459457.3333333335</v>
      </c>
      <c r="Z27" s="6">
        <f t="shared" si="14"/>
        <v>85962.986666666664</v>
      </c>
      <c r="AA27" s="6">
        <f t="shared" si="15"/>
        <v>66053.016666666663</v>
      </c>
      <c r="AB27" s="6">
        <f t="shared" si="16"/>
        <v>24215.340000000004</v>
      </c>
      <c r="AC27" s="6">
        <f t="shared" si="26"/>
        <v>1830584.0099999998</v>
      </c>
      <c r="AD27" s="37">
        <v>1355700</v>
      </c>
      <c r="AE27" s="6">
        <f t="shared" si="0"/>
        <v>1174162.3810862417</v>
      </c>
      <c r="AF27" s="6">
        <f t="shared" si="1"/>
        <v>51023.624007291532</v>
      </c>
      <c r="AG27" s="36">
        <f t="shared" si="2"/>
        <v>1080849.7703418706</v>
      </c>
      <c r="AH27" s="6">
        <f t="shared" si="3"/>
        <v>63662.754829809761</v>
      </c>
      <c r="AI27" s="6">
        <f t="shared" si="4"/>
        <v>48917.762968441973</v>
      </c>
      <c r="AJ27" s="6">
        <f t="shared" si="5"/>
        <v>17933.47710821532</v>
      </c>
      <c r="AL27" s="6">
        <f>+SUM('Firms Agri Trade Restaurants'!M28,'Firms Agri Trade Restaurants'!O28,'Firms Agri Trade Restaurants'!Q28)</f>
        <v>981900</v>
      </c>
      <c r="AM27" s="1" t="s">
        <v>22</v>
      </c>
      <c r="AN27" s="6">
        <f t="shared" si="17"/>
        <v>373800</v>
      </c>
      <c r="AO27" s="6">
        <f t="shared" si="6"/>
        <v>323745.59124440304</v>
      </c>
      <c r="AP27" s="6">
        <f t="shared" si="7"/>
        <v>14068.474333499724</v>
      </c>
      <c r="AQ27" s="6">
        <f t="shared" si="8"/>
        <v>17553.395113508068</v>
      </c>
      <c r="AR27" s="6">
        <f t="shared" si="9"/>
        <v>13487.836392714915</v>
      </c>
      <c r="AS27" s="6">
        <f t="shared" si="10"/>
        <v>4944.7029158743726</v>
      </c>
      <c r="AT27" s="36">
        <f t="shared" si="11"/>
        <v>298016.99797432416</v>
      </c>
      <c r="AV27" s="1" t="s">
        <v>22</v>
      </c>
      <c r="AW27" s="6">
        <f>+'Firms Agri Trade Restaurants'!C28</f>
        <v>3422030</v>
      </c>
      <c r="AX27" s="6">
        <f t="shared" si="18"/>
        <v>322.45941465224547</v>
      </c>
      <c r="AY27" s="6">
        <f>+'Firms Agri Trade Restaurants'!AC28</f>
        <v>172691</v>
      </c>
      <c r="AZ27" s="6">
        <f>+AY27-'Firms Agri Trade Restaurants'!Z28</f>
        <v>14277</v>
      </c>
      <c r="BA27" s="6">
        <f>+'Firms Agri Trade Restaurants'!AG28</f>
        <v>27175</v>
      </c>
      <c r="BB27" s="6">
        <f>+BA27-'Firms Agri Trade Restaurants'!AD28</f>
        <v>4363</v>
      </c>
      <c r="BC27" s="6">
        <v>3395930</v>
      </c>
      <c r="BD27" s="6">
        <v>320</v>
      </c>
      <c r="BF27" s="1" t="s">
        <v>22</v>
      </c>
      <c r="BG27" s="6">
        <f>+'Firms Agri Trade Restaurants'!N28</f>
        <v>481750</v>
      </c>
      <c r="BH27" s="6">
        <f>+'Firms Agri Trade Restaurants'!P28</f>
        <v>0</v>
      </c>
      <c r="BI27" s="6">
        <f>+'Firms Agri Trade Restaurants'!R28</f>
        <v>0</v>
      </c>
      <c r="BJ27" s="6">
        <f t="shared" si="35"/>
        <v>12090033.310068229</v>
      </c>
      <c r="BK27" s="6">
        <f t="shared" si="36"/>
        <v>2791.4236661729383</v>
      </c>
      <c r="BL27" s="6">
        <f t="shared" si="27"/>
        <v>559729.46666666667</v>
      </c>
      <c r="BM27" s="6">
        <f t="shared" si="28"/>
        <v>123591.23</v>
      </c>
      <c r="BN27" s="6">
        <f t="shared" si="29"/>
        <v>80602.399999999994</v>
      </c>
      <c r="BO27" s="6">
        <f t="shared" si="30"/>
        <v>37769.036666666667</v>
      </c>
      <c r="BP27" s="6">
        <f t="shared" si="31"/>
        <v>481638.79617617972</v>
      </c>
      <c r="BQ27" s="6">
        <f t="shared" si="32"/>
        <v>0</v>
      </c>
      <c r="BR27" s="6">
        <f t="shared" si="33"/>
        <v>0</v>
      </c>
      <c r="BS27" s="6">
        <f t="shared" si="37"/>
        <v>111.20382382020459</v>
      </c>
      <c r="BT27" s="6">
        <f t="shared" si="34"/>
        <v>0</v>
      </c>
      <c r="BU27" s="6">
        <f t="shared" si="39"/>
        <v>0</v>
      </c>
    </row>
    <row r="28" spans="1:73" x14ac:dyDescent="0.2">
      <c r="M28" s="1" t="s">
        <v>23</v>
      </c>
      <c r="N28" s="6">
        <v>599053</v>
      </c>
      <c r="O28" s="6">
        <v>20357</v>
      </c>
      <c r="P28" s="6">
        <v>619410</v>
      </c>
      <c r="Q28" s="6">
        <v>12048</v>
      </c>
      <c r="R28" s="6">
        <v>5882</v>
      </c>
      <c r="S28" s="6">
        <v>1385</v>
      </c>
      <c r="T28" s="6">
        <f t="shared" si="23"/>
        <v>638725</v>
      </c>
      <c r="V28" s="1" t="s">
        <v>23</v>
      </c>
      <c r="W28" s="6">
        <f t="shared" si="24"/>
        <v>2116653.9333333331</v>
      </c>
      <c r="X28" s="6">
        <f t="shared" si="25"/>
        <v>51571.066666666666</v>
      </c>
      <c r="Y28" s="36">
        <f t="shared" si="13"/>
        <v>1899524.0000000002</v>
      </c>
      <c r="Z28" s="6">
        <f t="shared" si="14"/>
        <v>62970.879999999997</v>
      </c>
      <c r="AA28" s="6">
        <f t="shared" si="15"/>
        <v>48840.206666666665</v>
      </c>
      <c r="AB28" s="6">
        <f t="shared" si="16"/>
        <v>20179.450000000004</v>
      </c>
      <c r="AC28" s="6">
        <f t="shared" si="26"/>
        <v>2300215.5366666666</v>
      </c>
      <c r="AD28" s="37">
        <v>306600</v>
      </c>
      <c r="AE28" s="6">
        <f t="shared" si="0"/>
        <v>282132.73304833093</v>
      </c>
      <c r="AF28" s="6">
        <f t="shared" si="1"/>
        <v>6874.0032348939549</v>
      </c>
      <c r="AG28" s="36">
        <f t="shared" si="2"/>
        <v>253191.08106015596</v>
      </c>
      <c r="AH28" s="6">
        <f t="shared" si="3"/>
        <v>8393.5055216513974</v>
      </c>
      <c r="AI28" s="6">
        <f t="shared" si="4"/>
        <v>6510.0018347411069</v>
      </c>
      <c r="AJ28" s="6">
        <f t="shared" si="5"/>
        <v>2689.756360382582</v>
      </c>
      <c r="AL28" s="6">
        <f>+SUM('Firms Agri Trade Restaurants'!M29,'Firms Agri Trade Restaurants'!O29,'Firms Agri Trade Restaurants'!Q29)</f>
        <v>73000</v>
      </c>
      <c r="AM28" s="1" t="s">
        <v>23</v>
      </c>
      <c r="AN28" s="6">
        <f t="shared" si="17"/>
        <v>233600</v>
      </c>
      <c r="AO28" s="6">
        <f t="shared" si="6"/>
        <v>214958.27279872831</v>
      </c>
      <c r="AP28" s="6">
        <f t="shared" si="7"/>
        <v>5237.3357980144419</v>
      </c>
      <c r="AQ28" s="6">
        <f t="shared" si="8"/>
        <v>6395.0518260201125</v>
      </c>
      <c r="AR28" s="6">
        <f t="shared" si="9"/>
        <v>4960.0013978979869</v>
      </c>
      <c r="AS28" s="6">
        <f t="shared" si="10"/>
        <v>2049.3381793391104</v>
      </c>
      <c r="AT28" s="36">
        <f t="shared" si="11"/>
        <v>192907.49033154742</v>
      </c>
      <c r="AV28" s="1" t="s">
        <v>23</v>
      </c>
      <c r="AW28" s="6">
        <f>+'Firms Agri Trade Restaurants'!C29</f>
        <v>62940</v>
      </c>
      <c r="AX28" s="6">
        <f t="shared" si="18"/>
        <v>3620.8767977820135</v>
      </c>
      <c r="AY28" s="6">
        <f>+'Firms Agri Trade Restaurants'!AC29</f>
        <v>113177</v>
      </c>
      <c r="AZ28" s="6">
        <f>+AY28-'Firms Agri Trade Restaurants'!Z29</f>
        <v>8523</v>
      </c>
      <c r="BA28" s="6">
        <f>+'Firms Agri Trade Restaurants'!AG29</f>
        <v>30036</v>
      </c>
      <c r="BB28" s="6">
        <f>+BA28-'Firms Agri Trade Restaurants'!AD29</f>
        <v>3926</v>
      </c>
      <c r="BC28" s="6">
        <v>57710</v>
      </c>
      <c r="BD28" s="6">
        <v>3320</v>
      </c>
      <c r="BF28" s="1" t="s">
        <v>23</v>
      </c>
      <c r="BG28" s="6">
        <f>+'Firms Agri Trade Restaurants'!N29</f>
        <v>0</v>
      </c>
      <c r="BH28" s="6">
        <f>+'Firms Agri Trade Restaurants'!P29</f>
        <v>0</v>
      </c>
      <c r="BI28" s="6">
        <f>+'Firms Agri Trade Restaurants'!R29</f>
        <v>0</v>
      </c>
      <c r="BJ28" s="6">
        <f t="shared" si="35"/>
        <v>209594.23531450354</v>
      </c>
      <c r="BK28" s="6">
        <f t="shared" si="36"/>
        <v>31344.723479466295</v>
      </c>
      <c r="BL28" s="6">
        <f t="shared" si="27"/>
        <v>369777.46666666667</v>
      </c>
      <c r="BM28" s="6">
        <f t="shared" si="28"/>
        <v>73780.76999999999</v>
      </c>
      <c r="BN28" s="6">
        <f t="shared" si="29"/>
        <v>92255.333333333328</v>
      </c>
      <c r="BO28" s="6">
        <f t="shared" si="30"/>
        <v>33986.073333333334</v>
      </c>
      <c r="BP28" s="6">
        <f t="shared" si="31"/>
        <v>0</v>
      </c>
      <c r="BQ28" s="6">
        <f t="shared" si="32"/>
        <v>0</v>
      </c>
      <c r="BR28" s="6">
        <f t="shared" si="33"/>
        <v>0</v>
      </c>
      <c r="BS28" s="6">
        <f t="shared" si="37"/>
        <v>0</v>
      </c>
      <c r="BT28" s="6">
        <f t="shared" si="34"/>
        <v>0</v>
      </c>
      <c r="BU28" s="6">
        <f t="shared" si="39"/>
        <v>0</v>
      </c>
    </row>
    <row r="29" spans="1:73" x14ac:dyDescent="0.2">
      <c r="A29" s="142" t="s">
        <v>378</v>
      </c>
      <c r="M29" s="1" t="s">
        <v>24</v>
      </c>
      <c r="N29" s="6">
        <v>137765</v>
      </c>
      <c r="O29" s="6">
        <v>4252</v>
      </c>
      <c r="P29" s="6">
        <v>142017</v>
      </c>
      <c r="Q29" s="6">
        <v>2206</v>
      </c>
      <c r="R29" s="6">
        <v>1247</v>
      </c>
      <c r="S29" s="6">
        <v>246</v>
      </c>
      <c r="T29" s="6">
        <f t="shared" si="23"/>
        <v>145716</v>
      </c>
      <c r="V29" s="1" t="s">
        <v>24</v>
      </c>
      <c r="W29" s="6">
        <f t="shared" si="24"/>
        <v>486769.66666666663</v>
      </c>
      <c r="X29" s="6">
        <f t="shared" si="25"/>
        <v>10771.733333333334</v>
      </c>
      <c r="Y29" s="36">
        <f t="shared" si="13"/>
        <v>435518.80000000005</v>
      </c>
      <c r="Z29" s="6">
        <f t="shared" si="14"/>
        <v>11530.026666666667</v>
      </c>
      <c r="AA29" s="6">
        <f t="shared" si="15"/>
        <v>10354.256666666666</v>
      </c>
      <c r="AB29" s="6">
        <f t="shared" si="16"/>
        <v>3584.2200000000007</v>
      </c>
      <c r="AC29" s="6">
        <f t="shared" si="26"/>
        <v>523009.90333333326</v>
      </c>
      <c r="AD29" s="37">
        <v>82200</v>
      </c>
      <c r="AE29" s="6">
        <f t="shared" si="0"/>
        <v>76504.223619831915</v>
      </c>
      <c r="AF29" s="6">
        <f t="shared" si="1"/>
        <v>1692.9631243247779</v>
      </c>
      <c r="AG29" s="36">
        <f t="shared" si="2"/>
        <v>68449.268612001004</v>
      </c>
      <c r="AH29" s="6">
        <f t="shared" si="3"/>
        <v>1812.1419612889297</v>
      </c>
      <c r="AI29" s="6">
        <f t="shared" si="4"/>
        <v>1627.349487219079</v>
      </c>
      <c r="AJ29" s="6">
        <f t="shared" si="5"/>
        <v>563.32180733531186</v>
      </c>
      <c r="AL29" s="6">
        <f>+SUM('Firms Agri Trade Restaurants'!M30,'Firms Agri Trade Restaurants'!O30,'Firms Agri Trade Restaurants'!Q30)</f>
        <v>25500</v>
      </c>
      <c r="AM29" s="1" t="s">
        <v>24</v>
      </c>
      <c r="AN29" s="6">
        <f t="shared" si="17"/>
        <v>56700</v>
      </c>
      <c r="AO29" s="6">
        <f t="shared" si="6"/>
        <v>52771.161547986252</v>
      </c>
      <c r="AP29" s="6">
        <f t="shared" si="7"/>
        <v>1167.7738339320549</v>
      </c>
      <c r="AQ29" s="6">
        <f t="shared" si="8"/>
        <v>1249.9811338817799</v>
      </c>
      <c r="AR29" s="6">
        <f t="shared" si="9"/>
        <v>1122.514792278854</v>
      </c>
      <c r="AS29" s="6">
        <f t="shared" si="10"/>
        <v>388.5686919210728</v>
      </c>
      <c r="AT29" s="36">
        <f t="shared" si="11"/>
        <v>47215.006451343761</v>
      </c>
      <c r="AV29" s="1" t="s">
        <v>24</v>
      </c>
      <c r="AW29" s="6">
        <f>+'Firms Agri Trade Restaurants'!C30</f>
        <v>69900</v>
      </c>
      <c r="AX29" s="6">
        <f t="shared" si="18"/>
        <v>200.95324557421696</v>
      </c>
      <c r="AY29" s="6">
        <f>+'Firms Agri Trade Restaurants'!AC30</f>
        <v>26148</v>
      </c>
      <c r="AZ29" s="6">
        <f>+AY29-'Firms Agri Trade Restaurants'!Z30</f>
        <v>1458</v>
      </c>
      <c r="BA29" s="6">
        <f>+'Firms Agri Trade Restaurants'!AG30</f>
        <v>12232</v>
      </c>
      <c r="BB29" s="6">
        <f>+BA29-'Firms Agri Trade Restaurants'!AD30</f>
        <v>548</v>
      </c>
      <c r="BC29" s="6">
        <v>66090</v>
      </c>
      <c r="BD29" s="6">
        <v>190</v>
      </c>
      <c r="BF29" s="1" t="s">
        <v>24</v>
      </c>
      <c r="BG29" s="6">
        <f>+'Firms Agri Trade Restaurants'!N30</f>
        <v>0</v>
      </c>
      <c r="BH29" s="6">
        <f>+'Firms Agri Trade Restaurants'!P30</f>
        <v>0</v>
      </c>
      <c r="BI29" s="6">
        <f>+'Firms Agri Trade Restaurants'!R30</f>
        <v>0</v>
      </c>
      <c r="BJ29" s="6">
        <f t="shared" si="35"/>
        <v>246269.9651989711</v>
      </c>
      <c r="BK29" s="6">
        <f t="shared" si="36"/>
        <v>1739.5852625208047</v>
      </c>
      <c r="BL29" s="6">
        <f t="shared" si="27"/>
        <v>87238</v>
      </c>
      <c r="BM29" s="6">
        <f t="shared" si="28"/>
        <v>12621.42</v>
      </c>
      <c r="BN29" s="6">
        <f t="shared" si="29"/>
        <v>41283.466666666667</v>
      </c>
      <c r="BO29" s="6">
        <f t="shared" si="30"/>
        <v>4743.8533333333335</v>
      </c>
      <c r="BP29" s="6">
        <f t="shared" si="31"/>
        <v>0</v>
      </c>
      <c r="BQ29" s="6">
        <f t="shared" si="32"/>
        <v>0</v>
      </c>
      <c r="BR29" s="6">
        <f t="shared" si="33"/>
        <v>0</v>
      </c>
      <c r="BS29" s="6">
        <f t="shared" si="37"/>
        <v>0</v>
      </c>
      <c r="BT29" s="6">
        <f t="shared" si="34"/>
        <v>0</v>
      </c>
      <c r="BU29" s="6">
        <f t="shared" si="39"/>
        <v>0</v>
      </c>
    </row>
    <row r="30" spans="1:73" x14ac:dyDescent="0.2">
      <c r="M30" s="1" t="s">
        <v>25</v>
      </c>
      <c r="N30" s="6">
        <v>479132</v>
      </c>
      <c r="O30" s="6">
        <v>7019</v>
      </c>
      <c r="P30" s="6">
        <v>486151</v>
      </c>
      <c r="Q30" s="6">
        <v>4319</v>
      </c>
      <c r="R30" s="6">
        <v>2567</v>
      </c>
      <c r="S30" s="6">
        <v>599</v>
      </c>
      <c r="T30" s="6">
        <f t="shared" si="23"/>
        <v>493636</v>
      </c>
      <c r="V30" s="1" t="s">
        <v>25</v>
      </c>
      <c r="W30" s="6">
        <f t="shared" si="24"/>
        <v>1692933.0666666667</v>
      </c>
      <c r="X30" s="6">
        <f t="shared" si="25"/>
        <v>17781.466666666667</v>
      </c>
      <c r="Y30" s="36">
        <f t="shared" si="13"/>
        <v>1490863.0666666667</v>
      </c>
      <c r="Z30" s="6">
        <f t="shared" si="14"/>
        <v>22573.973333333332</v>
      </c>
      <c r="AA30" s="6">
        <f t="shared" si="15"/>
        <v>21314.656666666666</v>
      </c>
      <c r="AB30" s="6">
        <f t="shared" si="16"/>
        <v>8727.4300000000021</v>
      </c>
      <c r="AC30" s="6">
        <f t="shared" si="26"/>
        <v>1763330.5933333333</v>
      </c>
      <c r="AD30" s="37">
        <v>309100</v>
      </c>
      <c r="AE30" s="6">
        <f t="shared" si="0"/>
        <v>296759.78678363847</v>
      </c>
      <c r="AF30" s="6">
        <f t="shared" si="1"/>
        <v>3116.9715806250274</v>
      </c>
      <c r="AG30" s="36">
        <f t="shared" si="2"/>
        <v>261338.27408707241</v>
      </c>
      <c r="AH30" s="6">
        <f t="shared" si="3"/>
        <v>3957.0657843252829</v>
      </c>
      <c r="AI30" s="6">
        <f t="shared" si="4"/>
        <v>3736.3160377160357</v>
      </c>
      <c r="AJ30" s="6">
        <f t="shared" si="5"/>
        <v>1529.8598136952119</v>
      </c>
      <c r="AL30" s="6">
        <f>+SUM('Firms Agri Trade Restaurants'!M31,'Firms Agri Trade Restaurants'!O31,'Firms Agri Trade Restaurants'!Q31)</f>
        <v>46100</v>
      </c>
      <c r="AM30" s="1" t="s">
        <v>25</v>
      </c>
      <c r="AN30" s="6">
        <f t="shared" si="17"/>
        <v>263000</v>
      </c>
      <c r="AO30" s="6">
        <f t="shared" si="6"/>
        <v>252500.23915916184</v>
      </c>
      <c r="AP30" s="6">
        <f t="shared" si="7"/>
        <v>2652.098109687422</v>
      </c>
      <c r="AQ30" s="6">
        <f t="shared" si="8"/>
        <v>3366.8984188856339</v>
      </c>
      <c r="AR30" s="6">
        <f t="shared" si="9"/>
        <v>3179.071879389574</v>
      </c>
      <c r="AS30" s="6">
        <f t="shared" si="10"/>
        <v>1301.6924328755765</v>
      </c>
      <c r="AT30" s="36">
        <f t="shared" si="11"/>
        <v>222361.58552216124</v>
      </c>
      <c r="AV30" s="1" t="s">
        <v>25</v>
      </c>
      <c r="AW30" s="6">
        <f>+'Firms Agri Trade Restaurants'!C31</f>
        <v>25660</v>
      </c>
      <c r="AX30" s="6">
        <f t="shared" si="18"/>
        <v>228.49510240427426</v>
      </c>
      <c r="AY30" s="6">
        <f>+'Firms Agri Trade Restaurants'!AC31</f>
        <v>109243</v>
      </c>
      <c r="AZ30" s="6">
        <f>+AY30-'Firms Agri Trade Restaurants'!Z31</f>
        <v>3320</v>
      </c>
      <c r="BA30" s="6">
        <f>+'Firms Agri Trade Restaurants'!AG31</f>
        <v>18798</v>
      </c>
      <c r="BB30" s="6">
        <f>+BA30-'Firms Agri Trade Restaurants'!AD31</f>
        <v>1374</v>
      </c>
      <c r="BC30" s="6">
        <v>22460</v>
      </c>
      <c r="BD30" s="6">
        <v>200</v>
      </c>
      <c r="BF30" s="1" t="s">
        <v>25</v>
      </c>
      <c r="BG30" s="6">
        <f>+'Firms Agri Trade Restaurants'!N31</f>
        <v>2040</v>
      </c>
      <c r="BH30" s="6">
        <f>+'Firms Agri Trade Restaurants'!P31</f>
        <v>0</v>
      </c>
      <c r="BI30" s="6">
        <f>+'Firms Agri Trade Restaurants'!R31</f>
        <v>0</v>
      </c>
      <c r="BJ30" s="6">
        <f t="shared" si="35"/>
        <v>89857.983971504887</v>
      </c>
      <c r="BK30" s="6">
        <f t="shared" si="36"/>
        <v>1978.0059364796675</v>
      </c>
      <c r="BL30" s="6">
        <f t="shared" si="27"/>
        <v>374261.26666666666</v>
      </c>
      <c r="BM30" s="6">
        <f t="shared" si="28"/>
        <v>28740.133333333331</v>
      </c>
      <c r="BN30" s="6">
        <f t="shared" si="29"/>
        <v>61564.799999999996</v>
      </c>
      <c r="BO30" s="6">
        <f t="shared" si="30"/>
        <v>11894.26</v>
      </c>
      <c r="BP30" s="6">
        <f t="shared" si="31"/>
        <v>1996.0615384615385</v>
      </c>
      <c r="BQ30" s="6">
        <f t="shared" si="32"/>
        <v>0</v>
      </c>
      <c r="BR30" s="6">
        <f t="shared" si="33"/>
        <v>0</v>
      </c>
      <c r="BS30" s="6">
        <f t="shared" si="37"/>
        <v>43.938461538461546</v>
      </c>
      <c r="BT30" s="6">
        <f t="shared" si="34"/>
        <v>0</v>
      </c>
      <c r="BU30" s="6">
        <f t="shared" si="39"/>
        <v>0</v>
      </c>
    </row>
    <row r="33" spans="13:13" x14ac:dyDescent="0.2">
      <c r="M33" s="32" t="s">
        <v>341</v>
      </c>
    </row>
  </sheetData>
  <pageMargins left="0.7" right="0.7" top="0.75" bottom="0.75" header="0.3" footer="0.3"/>
  <pageSetup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C000"/>
  </sheetPr>
  <dimension ref="B1:AG33"/>
  <sheetViews>
    <sheetView workbookViewId="0">
      <selection activeCell="Q38" sqref="Q38"/>
    </sheetView>
  </sheetViews>
  <sheetFormatPr defaultColWidth="9.140625" defaultRowHeight="11.25" x14ac:dyDescent="0.2"/>
  <cols>
    <col min="1" max="1" width="2.140625" style="2" customWidth="1"/>
    <col min="2" max="2" width="4.7109375" style="2" customWidth="1"/>
    <col min="3" max="6" width="9.140625" style="2"/>
    <col min="7" max="7" width="5.7109375" style="29" customWidth="1"/>
    <col min="8" max="8" width="4.7109375" style="2" customWidth="1"/>
    <col min="9" max="9" width="9.140625" style="2"/>
    <col min="10" max="10" width="9.140625" style="29"/>
    <col min="11" max="11" width="3.7109375" style="2" customWidth="1"/>
    <col min="12" max="12" width="9" style="2" customWidth="1"/>
    <col min="13" max="13" width="7.5703125" style="2" customWidth="1"/>
    <col min="14" max="15" width="8" style="2" customWidth="1"/>
    <col min="16" max="16" width="11.140625" style="2" customWidth="1"/>
    <col min="17" max="17" width="8.140625" style="2" customWidth="1"/>
    <col min="18" max="18" width="11.42578125" style="2" customWidth="1"/>
    <col min="19" max="19" width="11.28515625" style="2" customWidth="1"/>
    <col min="20" max="20" width="9.140625" style="2"/>
    <col min="21" max="21" width="4.28515625" style="2" customWidth="1"/>
    <col min="22" max="29" width="8.140625" style="2" customWidth="1"/>
    <col min="30" max="16384" width="9.140625" style="2"/>
  </cols>
  <sheetData>
    <row r="1" spans="2:33" x14ac:dyDescent="0.2">
      <c r="C1" s="2" t="s">
        <v>142</v>
      </c>
      <c r="I1" s="2" t="s">
        <v>143</v>
      </c>
      <c r="K1" s="123"/>
      <c r="L1" s="124" t="s">
        <v>325</v>
      </c>
      <c r="M1" s="124"/>
      <c r="N1" s="124"/>
      <c r="O1" s="124"/>
      <c r="P1" s="124"/>
      <c r="Q1" s="124"/>
      <c r="R1" s="124"/>
      <c r="S1" s="125"/>
      <c r="U1" s="28"/>
      <c r="V1" s="2" t="s">
        <v>167</v>
      </c>
    </row>
    <row r="2" spans="2:33" x14ac:dyDescent="0.2">
      <c r="K2" s="126"/>
      <c r="L2" s="119" t="s">
        <v>145</v>
      </c>
      <c r="M2" s="119" t="s">
        <v>142</v>
      </c>
      <c r="N2" s="119"/>
      <c r="O2" s="119" t="s">
        <v>143</v>
      </c>
      <c r="P2" s="119"/>
      <c r="Q2" s="119" t="s">
        <v>151</v>
      </c>
      <c r="R2" s="119"/>
      <c r="S2" s="127" t="s">
        <v>154</v>
      </c>
      <c r="U2" s="28"/>
      <c r="V2" s="2" t="s">
        <v>142</v>
      </c>
      <c r="Z2" s="2" t="s">
        <v>143</v>
      </c>
      <c r="AD2" s="2" t="s">
        <v>171</v>
      </c>
    </row>
    <row r="3" spans="2:33" ht="22.5" x14ac:dyDescent="0.2">
      <c r="B3" s="28"/>
      <c r="C3" s="28" t="s">
        <v>138</v>
      </c>
      <c r="D3" s="28" t="s">
        <v>139</v>
      </c>
      <c r="E3" s="28" t="s">
        <v>140</v>
      </c>
      <c r="F3" s="28" t="s">
        <v>141</v>
      </c>
      <c r="G3" s="30"/>
      <c r="H3" s="28"/>
      <c r="I3" s="28" t="s">
        <v>144</v>
      </c>
      <c r="J3" s="30"/>
      <c r="K3" s="126"/>
      <c r="L3" s="120" t="s">
        <v>147</v>
      </c>
      <c r="M3" s="121" t="s">
        <v>149</v>
      </c>
      <c r="N3" s="121" t="s">
        <v>146</v>
      </c>
      <c r="O3" s="121" t="s">
        <v>148</v>
      </c>
      <c r="P3" s="121" t="s">
        <v>150</v>
      </c>
      <c r="Q3" s="121" t="s">
        <v>153</v>
      </c>
      <c r="R3" s="121" t="s">
        <v>152</v>
      </c>
      <c r="S3" s="128" t="s">
        <v>155</v>
      </c>
      <c r="U3" s="28"/>
      <c r="V3" s="38"/>
      <c r="W3" s="38"/>
      <c r="X3" s="38"/>
      <c r="Y3" s="38"/>
      <c r="Z3" s="38" t="s">
        <v>168</v>
      </c>
      <c r="AA3" s="38" t="s">
        <v>169</v>
      </c>
      <c r="AB3" s="38" t="s">
        <v>170</v>
      </c>
      <c r="AC3" s="38" t="s">
        <v>145</v>
      </c>
      <c r="AD3" s="38" t="s">
        <v>168</v>
      </c>
      <c r="AE3" s="38" t="s">
        <v>169</v>
      </c>
      <c r="AF3" s="38" t="s">
        <v>170</v>
      </c>
      <c r="AG3" s="38" t="s">
        <v>145</v>
      </c>
    </row>
    <row r="4" spans="2:33" x14ac:dyDescent="0.2">
      <c r="B4" s="28" t="s">
        <v>72</v>
      </c>
      <c r="C4" s="6"/>
      <c r="D4" s="6"/>
      <c r="E4" s="6"/>
      <c r="F4" s="15"/>
      <c r="G4" s="31"/>
      <c r="H4" s="28"/>
      <c r="I4" s="6"/>
      <c r="K4" s="126" t="s">
        <v>72</v>
      </c>
      <c r="L4" s="122">
        <f>+SUM(L5:L31)</f>
        <v>19492100</v>
      </c>
      <c r="M4" s="122">
        <f t="shared" ref="M4:S4" si="0">+SUM(M5:M31)</f>
        <v>3727500</v>
      </c>
      <c r="N4" s="122">
        <f t="shared" si="0"/>
        <v>525690</v>
      </c>
      <c r="O4" s="122">
        <f t="shared" si="0"/>
        <v>2546100</v>
      </c>
      <c r="P4" s="122">
        <f t="shared" si="0"/>
        <v>152058</v>
      </c>
      <c r="Q4" s="122">
        <f t="shared" si="0"/>
        <v>595200</v>
      </c>
      <c r="R4" s="122">
        <f t="shared" si="0"/>
        <v>7028</v>
      </c>
      <c r="S4" s="129">
        <f t="shared" si="0"/>
        <v>13308076</v>
      </c>
      <c r="U4" s="28" t="s">
        <v>72</v>
      </c>
      <c r="Z4" s="6">
        <v>5410071</v>
      </c>
      <c r="AA4" s="6">
        <v>211392</v>
      </c>
      <c r="AB4" s="6">
        <v>103170</v>
      </c>
      <c r="AC4" s="6">
        <v>5771445</v>
      </c>
      <c r="AD4" s="6">
        <v>1660694</v>
      </c>
      <c r="AE4" s="6">
        <v>128932</v>
      </c>
      <c r="AF4" s="6">
        <v>56510</v>
      </c>
      <c r="AG4" s="6">
        <v>1863325</v>
      </c>
    </row>
    <row r="5" spans="2:33" x14ac:dyDescent="0.2">
      <c r="B5" s="28" t="s">
        <v>0</v>
      </c>
      <c r="C5" s="6">
        <v>132500</v>
      </c>
      <c r="D5" s="6">
        <v>132500</v>
      </c>
      <c r="E5" s="6">
        <v>90100</v>
      </c>
      <c r="F5" s="15">
        <f>(E5-D5)/E5</f>
        <v>-0.47058823529411764</v>
      </c>
      <c r="G5" s="31"/>
      <c r="H5" s="28" t="s">
        <v>0</v>
      </c>
      <c r="I5" s="6">
        <v>27892</v>
      </c>
      <c r="K5" s="126" t="s">
        <v>0</v>
      </c>
      <c r="L5" s="122">
        <v>269700</v>
      </c>
      <c r="M5" s="122">
        <v>64300</v>
      </c>
      <c r="N5" s="122">
        <f>+MAX(0,E5-D5)</f>
        <v>0</v>
      </c>
      <c r="O5" s="122">
        <v>23000</v>
      </c>
      <c r="P5" s="122">
        <f>+MAX(0,O5-I5)</f>
        <v>0</v>
      </c>
      <c r="Q5" s="122">
        <v>7200</v>
      </c>
      <c r="R5" s="122">
        <v>0</v>
      </c>
      <c r="S5" s="129">
        <f>+L5-SUM(M5,O5,Q5)+SUM(N5,P5,R5)</f>
        <v>175200</v>
      </c>
      <c r="U5" s="28" t="s">
        <v>0</v>
      </c>
      <c r="Z5" s="6">
        <v>66218</v>
      </c>
      <c r="AA5" s="6">
        <v>5720</v>
      </c>
      <c r="AB5" s="6">
        <v>2653</v>
      </c>
      <c r="AC5" s="6">
        <v>75771</v>
      </c>
      <c r="AD5" s="6">
        <v>39776</v>
      </c>
      <c r="AE5" s="6">
        <v>4562</v>
      </c>
      <c r="AF5" s="6">
        <v>1788</v>
      </c>
      <c r="AG5" s="6">
        <v>46724</v>
      </c>
    </row>
    <row r="6" spans="2:33" x14ac:dyDescent="0.2">
      <c r="B6" s="28" t="s">
        <v>1</v>
      </c>
      <c r="C6" s="6">
        <v>36890</v>
      </c>
      <c r="D6" s="26">
        <v>36890</v>
      </c>
      <c r="E6" s="6">
        <v>25300</v>
      </c>
      <c r="F6" s="15">
        <f t="shared" ref="F6:F31" si="1">(E6-D6)/E6</f>
        <v>-0.45810276679841899</v>
      </c>
      <c r="G6" s="31"/>
      <c r="H6" s="28" t="s">
        <v>1</v>
      </c>
      <c r="I6" s="6">
        <v>84618</v>
      </c>
      <c r="K6" s="126" t="s">
        <v>1</v>
      </c>
      <c r="L6" s="122">
        <v>467600</v>
      </c>
      <c r="M6" s="122">
        <v>22000</v>
      </c>
      <c r="N6" s="122">
        <f t="shared" ref="N6:N31" si="2">+MAX(0,E6-D6)</f>
        <v>0</v>
      </c>
      <c r="O6" s="122">
        <v>57800</v>
      </c>
      <c r="P6" s="122">
        <f t="shared" ref="P6:P31" si="3">+MAX(0,O6-I6)</f>
        <v>0</v>
      </c>
      <c r="Q6" s="122">
        <v>21600</v>
      </c>
      <c r="R6" s="122">
        <v>0</v>
      </c>
      <c r="S6" s="129">
        <f t="shared" ref="S6:S31" si="4">+L6-SUM(M6,O6,Q6)+SUM(N6,P6,R6)</f>
        <v>366200</v>
      </c>
      <c r="U6" s="28" t="s">
        <v>1</v>
      </c>
      <c r="Z6" s="6">
        <v>131842</v>
      </c>
      <c r="AA6" s="6">
        <v>5373</v>
      </c>
      <c r="AB6" s="6">
        <v>2825</v>
      </c>
      <c r="AC6" s="6">
        <v>141124</v>
      </c>
      <c r="AD6" s="6">
        <v>48147</v>
      </c>
      <c r="AE6" s="6">
        <v>2282</v>
      </c>
      <c r="AF6" s="6">
        <v>659</v>
      </c>
      <c r="AG6" s="6">
        <v>51249</v>
      </c>
    </row>
    <row r="7" spans="2:33" x14ac:dyDescent="0.2">
      <c r="B7" s="28" t="s">
        <v>2</v>
      </c>
      <c r="C7" s="6">
        <v>202720</v>
      </c>
      <c r="D7" s="6">
        <v>202720</v>
      </c>
      <c r="E7" s="6">
        <v>64000</v>
      </c>
      <c r="F7" s="15">
        <f t="shared" si="1"/>
        <v>-2.1675</v>
      </c>
      <c r="G7" s="31"/>
      <c r="H7" s="28" t="s">
        <v>2</v>
      </c>
      <c r="I7" s="6">
        <v>78710</v>
      </c>
      <c r="K7" s="126" t="s">
        <v>2</v>
      </c>
      <c r="L7" s="122">
        <v>214200</v>
      </c>
      <c r="M7" s="122">
        <v>52800</v>
      </c>
      <c r="N7" s="122">
        <f t="shared" si="2"/>
        <v>0</v>
      </c>
      <c r="O7" s="122">
        <v>43100</v>
      </c>
      <c r="P7" s="122">
        <f t="shared" si="3"/>
        <v>0</v>
      </c>
      <c r="Q7" s="122">
        <v>5900</v>
      </c>
      <c r="R7" s="122">
        <v>0</v>
      </c>
      <c r="S7" s="129">
        <f t="shared" si="4"/>
        <v>112400</v>
      </c>
      <c r="U7" s="28" t="s">
        <v>2</v>
      </c>
      <c r="Z7" s="6">
        <v>133952</v>
      </c>
      <c r="AA7" s="6">
        <v>4410</v>
      </c>
      <c r="AB7" s="6">
        <v>2252</v>
      </c>
      <c r="AC7" s="6">
        <v>141512</v>
      </c>
      <c r="AD7" s="6">
        <v>24101</v>
      </c>
      <c r="AE7" s="6">
        <v>1732</v>
      </c>
      <c r="AF7" s="6">
        <v>921</v>
      </c>
      <c r="AG7" s="6">
        <v>27082</v>
      </c>
    </row>
    <row r="8" spans="2:33" x14ac:dyDescent="0.2">
      <c r="B8" s="28" t="s">
        <v>3</v>
      </c>
      <c r="C8" s="6">
        <v>34940</v>
      </c>
      <c r="D8" s="6">
        <v>15380</v>
      </c>
      <c r="E8" s="6">
        <v>6000</v>
      </c>
      <c r="F8" s="15">
        <f t="shared" si="1"/>
        <v>-1.5633333333333332</v>
      </c>
      <c r="G8" s="31"/>
      <c r="H8" s="28" t="s">
        <v>3</v>
      </c>
      <c r="I8" s="6">
        <v>8661</v>
      </c>
      <c r="K8" s="126" t="s">
        <v>3</v>
      </c>
      <c r="L8" s="122">
        <v>44500</v>
      </c>
      <c r="M8" s="122">
        <v>5200</v>
      </c>
      <c r="N8" s="122">
        <f t="shared" si="2"/>
        <v>0</v>
      </c>
      <c r="O8" s="122">
        <v>4500</v>
      </c>
      <c r="P8" s="122">
        <f t="shared" si="3"/>
        <v>0</v>
      </c>
      <c r="Q8" s="122">
        <v>1600</v>
      </c>
      <c r="R8" s="122">
        <v>0</v>
      </c>
      <c r="S8" s="129">
        <f t="shared" si="4"/>
        <v>33200</v>
      </c>
      <c r="U8" s="28" t="s">
        <v>3</v>
      </c>
      <c r="Z8" s="6">
        <v>15821</v>
      </c>
      <c r="AA8" s="6">
        <v>668</v>
      </c>
      <c r="AB8" s="6">
        <v>325</v>
      </c>
      <c r="AC8" s="6">
        <v>16964</v>
      </c>
      <c r="AD8" s="6">
        <v>5021</v>
      </c>
      <c r="AE8" s="6">
        <v>439</v>
      </c>
      <c r="AF8" s="6">
        <v>225</v>
      </c>
      <c r="AG8" s="6">
        <v>5827</v>
      </c>
    </row>
    <row r="9" spans="2:33" x14ac:dyDescent="0.2">
      <c r="B9" s="28" t="s">
        <v>4</v>
      </c>
      <c r="C9" s="6">
        <v>26530</v>
      </c>
      <c r="D9" s="6">
        <v>22410</v>
      </c>
      <c r="E9" s="6">
        <v>33600</v>
      </c>
      <c r="F9" s="27">
        <f t="shared" si="1"/>
        <v>0.33303571428571427</v>
      </c>
      <c r="G9" s="31"/>
      <c r="H9" s="28" t="s">
        <v>4</v>
      </c>
      <c r="I9" s="6">
        <v>173995</v>
      </c>
      <c r="K9" s="126" t="s">
        <v>4</v>
      </c>
      <c r="L9" s="122">
        <v>699200</v>
      </c>
      <c r="M9" s="122">
        <v>28100</v>
      </c>
      <c r="N9" s="122">
        <f t="shared" si="2"/>
        <v>11190</v>
      </c>
      <c r="O9" s="122">
        <v>73400</v>
      </c>
      <c r="P9" s="122">
        <f t="shared" si="3"/>
        <v>0</v>
      </c>
      <c r="Q9" s="122">
        <v>17500</v>
      </c>
      <c r="R9" s="122">
        <v>0</v>
      </c>
      <c r="S9" s="129">
        <f t="shared" si="4"/>
        <v>591390</v>
      </c>
      <c r="U9" s="28" t="s">
        <v>4</v>
      </c>
      <c r="Z9" s="6">
        <v>216519</v>
      </c>
      <c r="AA9" s="6">
        <v>4768</v>
      </c>
      <c r="AB9" s="6">
        <v>2746</v>
      </c>
      <c r="AC9" s="6">
        <v>225257</v>
      </c>
      <c r="AD9" s="6">
        <v>55514</v>
      </c>
      <c r="AE9" s="6">
        <v>2087</v>
      </c>
      <c r="AF9" s="6">
        <v>985</v>
      </c>
      <c r="AG9" s="6">
        <v>58840</v>
      </c>
    </row>
    <row r="10" spans="2:33" x14ac:dyDescent="0.2">
      <c r="B10" s="28" t="s">
        <v>5</v>
      </c>
      <c r="C10" s="6">
        <v>276120</v>
      </c>
      <c r="D10" s="6">
        <v>276120</v>
      </c>
      <c r="E10" s="6">
        <v>163000</v>
      </c>
      <c r="F10" s="15">
        <f t="shared" si="1"/>
        <v>-0.69398773006134973</v>
      </c>
      <c r="G10" s="31"/>
      <c r="H10" s="28" t="s">
        <v>5</v>
      </c>
      <c r="I10" s="6">
        <v>159198</v>
      </c>
      <c r="K10" s="126" t="s">
        <v>5</v>
      </c>
      <c r="L10" s="122">
        <v>2102900</v>
      </c>
      <c r="M10" s="122">
        <v>89700</v>
      </c>
      <c r="N10" s="122">
        <f t="shared" si="2"/>
        <v>0</v>
      </c>
      <c r="O10" s="122">
        <v>171400</v>
      </c>
      <c r="P10" s="122">
        <f t="shared" si="3"/>
        <v>12202</v>
      </c>
      <c r="Q10" s="122">
        <v>33000</v>
      </c>
      <c r="R10" s="122">
        <v>0</v>
      </c>
      <c r="S10" s="129">
        <f t="shared" si="4"/>
        <v>1821002</v>
      </c>
      <c r="U10" s="28" t="s">
        <v>5</v>
      </c>
      <c r="Z10" s="6">
        <v>484381</v>
      </c>
      <c r="AA10" s="6">
        <v>56645</v>
      </c>
      <c r="AB10" s="6">
        <v>28380</v>
      </c>
      <c r="AC10" s="6">
        <v>582198</v>
      </c>
      <c r="AD10" s="6">
        <v>169909</v>
      </c>
      <c r="AE10" s="6">
        <v>38102</v>
      </c>
      <c r="AF10" s="6">
        <v>20478</v>
      </c>
      <c r="AG10" s="6">
        <v>234532</v>
      </c>
    </row>
    <row r="11" spans="2:33" x14ac:dyDescent="0.2">
      <c r="B11" s="28" t="s">
        <v>6</v>
      </c>
      <c r="C11" s="6">
        <v>35050</v>
      </c>
      <c r="D11" s="6">
        <v>35050</v>
      </c>
      <c r="E11" s="6">
        <v>20400</v>
      </c>
      <c r="F11" s="15">
        <f t="shared" si="1"/>
        <v>-0.71813725490196079</v>
      </c>
      <c r="G11" s="31"/>
      <c r="H11" s="28" t="s">
        <v>6</v>
      </c>
      <c r="I11" s="6">
        <v>17772</v>
      </c>
      <c r="K11" s="126" t="s">
        <v>6</v>
      </c>
      <c r="L11" s="122">
        <v>131100</v>
      </c>
      <c r="M11" s="122">
        <v>11200</v>
      </c>
      <c r="N11" s="122">
        <f t="shared" si="2"/>
        <v>0</v>
      </c>
      <c r="O11" s="122">
        <v>13000</v>
      </c>
      <c r="P11" s="122">
        <f t="shared" si="3"/>
        <v>0</v>
      </c>
      <c r="Q11" s="122">
        <v>2700</v>
      </c>
      <c r="R11" s="122">
        <v>0</v>
      </c>
      <c r="S11" s="129">
        <f t="shared" si="4"/>
        <v>104200</v>
      </c>
      <c r="U11" s="28" t="s">
        <v>6</v>
      </c>
      <c r="Z11" s="6">
        <v>34231</v>
      </c>
      <c r="AA11" s="6">
        <v>3533</v>
      </c>
      <c r="AB11" s="6">
        <v>2359</v>
      </c>
      <c r="AC11" s="6">
        <v>41205</v>
      </c>
      <c r="AD11" s="6">
        <v>11340</v>
      </c>
      <c r="AE11" s="6">
        <v>1754</v>
      </c>
      <c r="AF11" s="6">
        <v>1120</v>
      </c>
      <c r="AG11" s="6">
        <v>14582</v>
      </c>
    </row>
    <row r="12" spans="2:33" x14ac:dyDescent="0.2">
      <c r="B12" s="28" t="s">
        <v>7</v>
      </c>
      <c r="C12" s="6">
        <v>16700</v>
      </c>
      <c r="D12" s="6">
        <v>11800</v>
      </c>
      <c r="E12" s="6">
        <v>6300</v>
      </c>
      <c r="F12" s="15">
        <f t="shared" si="1"/>
        <v>-0.87301587301587302</v>
      </c>
      <c r="G12" s="31"/>
      <c r="H12" s="28" t="s">
        <v>7</v>
      </c>
      <c r="I12" s="6">
        <v>9683</v>
      </c>
      <c r="K12" s="126" t="s">
        <v>7</v>
      </c>
      <c r="L12" s="122">
        <v>42100</v>
      </c>
      <c r="M12" s="122">
        <v>4000</v>
      </c>
      <c r="N12" s="122">
        <f t="shared" si="2"/>
        <v>0</v>
      </c>
      <c r="O12" s="122">
        <v>3300</v>
      </c>
      <c r="P12" s="122">
        <f t="shared" si="3"/>
        <v>0</v>
      </c>
      <c r="Q12" s="122">
        <v>0</v>
      </c>
      <c r="R12" s="122">
        <v>0</v>
      </c>
      <c r="S12" s="129">
        <f t="shared" si="4"/>
        <v>34800</v>
      </c>
      <c r="U12" s="28" t="s">
        <v>7</v>
      </c>
      <c r="Z12" s="6">
        <v>15507</v>
      </c>
      <c r="AA12" s="6">
        <v>714</v>
      </c>
      <c r="AB12" s="6">
        <v>371</v>
      </c>
      <c r="AC12" s="6">
        <v>16813</v>
      </c>
      <c r="AD12" s="6">
        <v>2535</v>
      </c>
      <c r="AE12" s="6">
        <v>374</v>
      </c>
      <c r="AF12" s="6">
        <v>207</v>
      </c>
      <c r="AG12" s="6">
        <v>3188</v>
      </c>
    </row>
    <row r="13" spans="2:33" x14ac:dyDescent="0.2">
      <c r="B13" s="28" t="s">
        <v>8</v>
      </c>
      <c r="C13" s="6">
        <v>945020</v>
      </c>
      <c r="D13" s="6">
        <v>911620</v>
      </c>
      <c r="E13" s="6">
        <v>265300</v>
      </c>
      <c r="F13" s="15">
        <f t="shared" si="1"/>
        <v>-2.4361854504334715</v>
      </c>
      <c r="G13" s="31"/>
      <c r="H13" s="28" t="s">
        <v>8</v>
      </c>
      <c r="I13" s="6">
        <v>402170</v>
      </c>
      <c r="K13" s="126" t="s">
        <v>8</v>
      </c>
      <c r="L13" s="122">
        <v>2066199.9999999998</v>
      </c>
      <c r="M13" s="122">
        <v>217200</v>
      </c>
      <c r="N13" s="122">
        <f t="shared" si="2"/>
        <v>0</v>
      </c>
      <c r="O13" s="122">
        <v>447800</v>
      </c>
      <c r="P13" s="122">
        <f t="shared" si="3"/>
        <v>45630</v>
      </c>
      <c r="Q13" s="122">
        <v>142500</v>
      </c>
      <c r="R13" s="122">
        <v>0</v>
      </c>
      <c r="S13" s="129">
        <f t="shared" si="4"/>
        <v>1304329.9999999998</v>
      </c>
      <c r="U13" s="28" t="s">
        <v>8</v>
      </c>
      <c r="Z13" s="6">
        <v>708758</v>
      </c>
      <c r="AA13" s="6">
        <v>21412</v>
      </c>
      <c r="AB13" s="6">
        <v>9928</v>
      </c>
      <c r="AC13" s="6">
        <v>744063</v>
      </c>
      <c r="AD13" s="6">
        <v>262899</v>
      </c>
      <c r="AE13" s="6">
        <v>15580</v>
      </c>
      <c r="AF13" s="6">
        <v>7115</v>
      </c>
      <c r="AG13" s="6">
        <v>287273</v>
      </c>
    </row>
    <row r="14" spans="2:33" x14ac:dyDescent="0.2">
      <c r="B14" s="28" t="s">
        <v>9</v>
      </c>
      <c r="C14" s="6">
        <v>49710</v>
      </c>
      <c r="D14" s="6">
        <v>49710</v>
      </c>
      <c r="E14" s="6">
        <v>56200</v>
      </c>
      <c r="F14" s="27">
        <f t="shared" si="1"/>
        <v>0.11548042704626335</v>
      </c>
      <c r="G14" s="31"/>
      <c r="H14" s="28" t="s">
        <v>9</v>
      </c>
      <c r="I14" s="6">
        <v>21925</v>
      </c>
      <c r="K14" s="126" t="s">
        <v>9</v>
      </c>
      <c r="L14" s="122">
        <v>238200</v>
      </c>
      <c r="M14" s="122">
        <v>46600</v>
      </c>
      <c r="N14" s="122">
        <f t="shared" si="2"/>
        <v>6490</v>
      </c>
      <c r="O14" s="122">
        <v>16100.000000000002</v>
      </c>
      <c r="P14" s="122">
        <f t="shared" si="3"/>
        <v>0</v>
      </c>
      <c r="Q14" s="122">
        <v>4100</v>
      </c>
      <c r="R14" s="122">
        <v>0</v>
      </c>
      <c r="S14" s="129">
        <f t="shared" si="4"/>
        <v>177890</v>
      </c>
      <c r="U14" s="28" t="s">
        <v>9</v>
      </c>
      <c r="Z14" s="6">
        <v>36222</v>
      </c>
      <c r="AA14" s="6">
        <v>2356</v>
      </c>
      <c r="AB14" s="6">
        <v>1179</v>
      </c>
      <c r="AC14" s="6">
        <v>40299</v>
      </c>
      <c r="AD14" s="6">
        <v>10621</v>
      </c>
      <c r="AE14" s="6">
        <v>871</v>
      </c>
      <c r="AF14" s="6">
        <v>370</v>
      </c>
      <c r="AG14" s="6">
        <v>12012</v>
      </c>
    </row>
    <row r="15" spans="2:33" x14ac:dyDescent="0.2">
      <c r="B15" s="28" t="s">
        <v>10</v>
      </c>
      <c r="C15" s="6">
        <v>456520</v>
      </c>
      <c r="D15" s="6">
        <v>449480</v>
      </c>
      <c r="E15" s="6">
        <v>341700</v>
      </c>
      <c r="F15" s="15">
        <f t="shared" si="1"/>
        <v>-0.31542288557213932</v>
      </c>
      <c r="G15" s="31"/>
      <c r="H15" s="28" t="s">
        <v>10</v>
      </c>
      <c r="I15" s="6">
        <v>521919</v>
      </c>
      <c r="K15" s="126" t="s">
        <v>10</v>
      </c>
      <c r="L15" s="122">
        <v>2047500</v>
      </c>
      <c r="M15" s="122">
        <v>247400</v>
      </c>
      <c r="N15" s="122">
        <f t="shared" si="2"/>
        <v>0</v>
      </c>
      <c r="O15" s="122">
        <v>255400</v>
      </c>
      <c r="P15" s="122">
        <f t="shared" si="3"/>
        <v>0</v>
      </c>
      <c r="Q15" s="122">
        <v>63900</v>
      </c>
      <c r="R15" s="122">
        <v>0</v>
      </c>
      <c r="S15" s="129">
        <f t="shared" si="4"/>
        <v>1480800</v>
      </c>
      <c r="U15" s="28" t="s">
        <v>10</v>
      </c>
      <c r="Z15" s="6">
        <v>652552</v>
      </c>
      <c r="AA15" s="6">
        <v>15341</v>
      </c>
      <c r="AB15" s="6">
        <v>8214</v>
      </c>
      <c r="AC15" s="6">
        <v>680926</v>
      </c>
      <c r="AD15" s="6">
        <v>246017</v>
      </c>
      <c r="AE15" s="6">
        <v>7954</v>
      </c>
      <c r="AF15" s="6">
        <v>3051</v>
      </c>
      <c r="AG15" s="6">
        <v>258278</v>
      </c>
    </row>
    <row r="16" spans="2:33" x14ac:dyDescent="0.2">
      <c r="B16" s="28" t="s">
        <v>11</v>
      </c>
      <c r="C16" s="6">
        <v>684950</v>
      </c>
      <c r="D16" s="6">
        <v>575350</v>
      </c>
      <c r="E16" s="6">
        <v>323200</v>
      </c>
      <c r="F16" s="15">
        <f t="shared" si="1"/>
        <v>-0.78016707920792083</v>
      </c>
      <c r="G16" s="31"/>
      <c r="H16" s="28" t="s">
        <v>11</v>
      </c>
      <c r="I16" s="6">
        <v>110651</v>
      </c>
      <c r="K16" s="126" t="s">
        <v>11</v>
      </c>
      <c r="L16" s="122">
        <v>832700</v>
      </c>
      <c r="M16" s="122">
        <v>288100</v>
      </c>
      <c r="N16" s="122">
        <f t="shared" si="2"/>
        <v>0</v>
      </c>
      <c r="O16" s="122">
        <v>143300</v>
      </c>
      <c r="P16" s="122">
        <f t="shared" si="3"/>
        <v>32649</v>
      </c>
      <c r="Q16" s="122">
        <v>38600</v>
      </c>
      <c r="R16" s="122">
        <v>0</v>
      </c>
      <c r="S16" s="129">
        <f t="shared" si="4"/>
        <v>395349</v>
      </c>
      <c r="U16" s="28" t="s">
        <v>11</v>
      </c>
      <c r="Z16" s="6">
        <v>219393</v>
      </c>
      <c r="AA16" s="6">
        <v>5229</v>
      </c>
      <c r="AB16" s="6">
        <v>2104</v>
      </c>
      <c r="AC16" s="6">
        <v>227505</v>
      </c>
      <c r="AD16" s="6">
        <v>93216</v>
      </c>
      <c r="AE16" s="6">
        <v>9176</v>
      </c>
      <c r="AF16" s="6">
        <v>4264</v>
      </c>
      <c r="AG16" s="6">
        <v>107678</v>
      </c>
    </row>
    <row r="17" spans="2:33" x14ac:dyDescent="0.2">
      <c r="B17" s="28" t="s">
        <v>26</v>
      </c>
      <c r="C17" s="6">
        <v>134460</v>
      </c>
      <c r="D17" s="6">
        <v>64330</v>
      </c>
      <c r="E17" s="6">
        <v>52300</v>
      </c>
      <c r="F17" s="15">
        <f t="shared" si="1"/>
        <v>-0.230019120458891</v>
      </c>
      <c r="G17" s="31"/>
      <c r="H17" s="28" t="s">
        <v>26</v>
      </c>
      <c r="I17" s="6">
        <v>19504</v>
      </c>
      <c r="K17" s="126" t="s">
        <v>26</v>
      </c>
      <c r="L17" s="122">
        <v>101900</v>
      </c>
      <c r="M17" s="122">
        <v>44400</v>
      </c>
      <c r="N17" s="122">
        <f t="shared" si="2"/>
        <v>0</v>
      </c>
      <c r="O17" s="122">
        <v>6800</v>
      </c>
      <c r="P17" s="122">
        <f t="shared" si="3"/>
        <v>0</v>
      </c>
      <c r="Q17" s="122">
        <v>2200</v>
      </c>
      <c r="R17" s="122">
        <v>0</v>
      </c>
      <c r="S17" s="129">
        <f t="shared" si="4"/>
        <v>48500</v>
      </c>
      <c r="U17" s="28" t="s">
        <v>26</v>
      </c>
      <c r="Z17" s="6">
        <v>32319</v>
      </c>
      <c r="AA17" s="6">
        <v>1629</v>
      </c>
      <c r="AB17" s="6">
        <v>816</v>
      </c>
      <c r="AC17" s="6">
        <v>35215</v>
      </c>
      <c r="AD17" s="6">
        <v>18917</v>
      </c>
      <c r="AE17" s="6">
        <v>1137</v>
      </c>
      <c r="AF17" s="6">
        <v>380</v>
      </c>
      <c r="AG17" s="6">
        <v>20592</v>
      </c>
    </row>
    <row r="18" spans="2:33" x14ac:dyDescent="0.2">
      <c r="B18" s="28" t="s">
        <v>12</v>
      </c>
      <c r="C18" s="6">
        <v>430000</v>
      </c>
      <c r="D18" s="6">
        <v>172900</v>
      </c>
      <c r="E18" s="6">
        <v>58800</v>
      </c>
      <c r="F18" s="15">
        <f t="shared" si="1"/>
        <v>-1.9404761904761905</v>
      </c>
      <c r="G18" s="31"/>
      <c r="H18" s="28" t="s">
        <v>12</v>
      </c>
      <c r="I18" s="6">
        <v>72452</v>
      </c>
      <c r="K18" s="126" t="s">
        <v>12</v>
      </c>
      <c r="L18" s="122">
        <v>277200</v>
      </c>
      <c r="M18" s="122">
        <v>46100</v>
      </c>
      <c r="N18" s="122">
        <f t="shared" si="2"/>
        <v>0</v>
      </c>
      <c r="O18" s="122">
        <v>32900</v>
      </c>
      <c r="P18" s="122">
        <f t="shared" si="3"/>
        <v>0</v>
      </c>
      <c r="Q18" s="122">
        <v>4100</v>
      </c>
      <c r="R18" s="122">
        <v>0</v>
      </c>
      <c r="S18" s="129">
        <f t="shared" si="4"/>
        <v>194100</v>
      </c>
      <c r="U18" s="28" t="s">
        <v>12</v>
      </c>
      <c r="Z18" s="6">
        <v>125774</v>
      </c>
      <c r="AA18" s="6">
        <v>5348</v>
      </c>
      <c r="AB18" s="6">
        <v>2253</v>
      </c>
      <c r="AC18" s="6">
        <v>134240</v>
      </c>
      <c r="AD18" s="6">
        <v>27716</v>
      </c>
      <c r="AE18" s="6">
        <v>1805</v>
      </c>
      <c r="AF18" s="6">
        <v>846</v>
      </c>
      <c r="AG18" s="6">
        <v>30624</v>
      </c>
    </row>
    <row r="19" spans="2:33" x14ac:dyDescent="0.2">
      <c r="B19" s="28" t="s">
        <v>13</v>
      </c>
      <c r="C19" s="6">
        <v>137560</v>
      </c>
      <c r="D19" s="26">
        <v>137560</v>
      </c>
      <c r="E19" s="6">
        <v>63900</v>
      </c>
      <c r="F19" s="15">
        <f t="shared" si="1"/>
        <v>-1.1527386541471047</v>
      </c>
      <c r="G19" s="31"/>
      <c r="H19" s="28" t="s">
        <v>13</v>
      </c>
      <c r="I19" s="6">
        <v>23082</v>
      </c>
      <c r="K19" s="126" t="s">
        <v>13</v>
      </c>
      <c r="L19" s="122">
        <v>219400</v>
      </c>
      <c r="M19" s="122">
        <v>56200</v>
      </c>
      <c r="N19" s="122">
        <f t="shared" si="2"/>
        <v>0</v>
      </c>
      <c r="O19" s="122">
        <v>15000</v>
      </c>
      <c r="P19" s="122">
        <f t="shared" si="3"/>
        <v>0</v>
      </c>
      <c r="Q19" s="122">
        <v>4900</v>
      </c>
      <c r="R19" s="122">
        <v>0</v>
      </c>
      <c r="S19" s="129">
        <f t="shared" si="4"/>
        <v>143300</v>
      </c>
      <c r="U19" s="28" t="s">
        <v>13</v>
      </c>
      <c r="Z19" s="6">
        <v>41340</v>
      </c>
      <c r="AA19" s="6">
        <v>3531</v>
      </c>
      <c r="AB19" s="6">
        <v>2044</v>
      </c>
      <c r="AC19" s="6">
        <v>47789</v>
      </c>
      <c r="AD19" s="6">
        <v>15184</v>
      </c>
      <c r="AE19" s="6">
        <v>2087</v>
      </c>
      <c r="AF19" s="6">
        <v>1225</v>
      </c>
      <c r="AG19" s="6">
        <v>19172</v>
      </c>
    </row>
    <row r="20" spans="2:33" x14ac:dyDescent="0.2">
      <c r="B20" s="28" t="s">
        <v>14</v>
      </c>
      <c r="C20" s="6">
        <v>1145710</v>
      </c>
      <c r="D20" s="6">
        <v>855830</v>
      </c>
      <c r="E20" s="6">
        <v>347900</v>
      </c>
      <c r="F20" s="15">
        <f t="shared" si="1"/>
        <v>-1.4599885024432309</v>
      </c>
      <c r="G20" s="31"/>
      <c r="H20" s="28" t="s">
        <v>14</v>
      </c>
      <c r="I20" s="6">
        <v>634680</v>
      </c>
      <c r="K20" s="126" t="s">
        <v>14</v>
      </c>
      <c r="L20" s="122">
        <v>3575400</v>
      </c>
      <c r="M20" s="122">
        <v>249400</v>
      </c>
      <c r="N20" s="122">
        <f t="shared" si="2"/>
        <v>0</v>
      </c>
      <c r="O20" s="122">
        <v>695900</v>
      </c>
      <c r="P20" s="122">
        <f t="shared" si="3"/>
        <v>61220</v>
      </c>
      <c r="Q20" s="122">
        <v>158700</v>
      </c>
      <c r="R20" s="122">
        <v>6860</v>
      </c>
      <c r="S20" s="129">
        <f t="shared" si="4"/>
        <v>2539480</v>
      </c>
      <c r="U20" s="28" t="s">
        <v>14</v>
      </c>
      <c r="Z20" s="6">
        <v>1041947</v>
      </c>
      <c r="AA20" s="6">
        <v>26385</v>
      </c>
      <c r="AB20" s="6">
        <v>8870</v>
      </c>
      <c r="AC20" s="6">
        <v>1080739</v>
      </c>
      <c r="AD20" s="6">
        <v>309574</v>
      </c>
      <c r="AE20" s="6">
        <v>21305</v>
      </c>
      <c r="AF20" s="6">
        <v>5021</v>
      </c>
      <c r="AG20" s="6">
        <v>337140</v>
      </c>
    </row>
    <row r="21" spans="2:33" x14ac:dyDescent="0.2">
      <c r="B21" s="28" t="s">
        <v>15</v>
      </c>
      <c r="C21" s="6">
        <v>150320</v>
      </c>
      <c r="D21" s="6">
        <v>82890</v>
      </c>
      <c r="E21" s="6">
        <v>34900</v>
      </c>
      <c r="F21" s="15">
        <f t="shared" si="1"/>
        <v>-1.3750716332378223</v>
      </c>
      <c r="G21" s="31"/>
      <c r="H21" s="28" t="s">
        <v>15</v>
      </c>
      <c r="I21" s="6">
        <v>39550</v>
      </c>
      <c r="K21" s="126" t="s">
        <v>15</v>
      </c>
      <c r="L21" s="122">
        <v>115700</v>
      </c>
      <c r="M21" s="122">
        <v>30700</v>
      </c>
      <c r="N21" s="122">
        <f t="shared" si="2"/>
        <v>0</v>
      </c>
      <c r="O21" s="122">
        <v>16300</v>
      </c>
      <c r="P21" s="122">
        <f t="shared" si="3"/>
        <v>0</v>
      </c>
      <c r="Q21" s="122">
        <v>0</v>
      </c>
      <c r="R21" s="122">
        <v>0</v>
      </c>
      <c r="S21" s="129">
        <f t="shared" si="4"/>
        <v>68700</v>
      </c>
      <c r="U21" s="28" t="s">
        <v>15</v>
      </c>
      <c r="Z21" s="6">
        <v>54488</v>
      </c>
      <c r="AA21" s="6">
        <v>1956</v>
      </c>
      <c r="AB21" s="6">
        <v>1037</v>
      </c>
      <c r="AC21" s="6">
        <v>57955</v>
      </c>
      <c r="AD21" s="6">
        <v>6016</v>
      </c>
      <c r="AE21" s="6">
        <v>636</v>
      </c>
      <c r="AF21" s="6">
        <v>346</v>
      </c>
      <c r="AG21" s="6">
        <v>7123</v>
      </c>
    </row>
    <row r="22" spans="2:33" x14ac:dyDescent="0.2">
      <c r="B22" s="28" t="s">
        <v>16</v>
      </c>
      <c r="C22" s="6">
        <v>1970</v>
      </c>
      <c r="D22" s="26">
        <v>1970</v>
      </c>
      <c r="E22" s="6">
        <v>1100</v>
      </c>
      <c r="F22" s="15">
        <f t="shared" si="1"/>
        <v>-0.79090909090909089</v>
      </c>
      <c r="G22" s="31"/>
      <c r="H22" s="28" t="s">
        <v>16</v>
      </c>
      <c r="I22" s="6">
        <v>4372</v>
      </c>
      <c r="K22" s="126" t="s">
        <v>16</v>
      </c>
      <c r="L22" s="122">
        <v>12900</v>
      </c>
      <c r="M22" s="122">
        <v>700</v>
      </c>
      <c r="N22" s="122">
        <f t="shared" si="2"/>
        <v>0</v>
      </c>
      <c r="O22" s="122">
        <v>1000</v>
      </c>
      <c r="P22" s="122">
        <f t="shared" si="3"/>
        <v>0</v>
      </c>
      <c r="Q22" s="122">
        <v>0</v>
      </c>
      <c r="R22" s="122">
        <v>0</v>
      </c>
      <c r="S22" s="129">
        <f t="shared" si="4"/>
        <v>11200</v>
      </c>
      <c r="U22" s="28" t="s">
        <v>16</v>
      </c>
      <c r="Z22" s="6">
        <v>6660</v>
      </c>
      <c r="AA22" s="6">
        <v>555</v>
      </c>
      <c r="AB22" s="6">
        <v>263</v>
      </c>
      <c r="AC22" s="6">
        <v>7638</v>
      </c>
      <c r="AD22" s="6">
        <v>2252</v>
      </c>
      <c r="AE22" s="6">
        <v>334</v>
      </c>
      <c r="AF22" s="6">
        <v>120</v>
      </c>
      <c r="AG22" s="6">
        <v>2743</v>
      </c>
    </row>
    <row r="23" spans="2:33" x14ac:dyDescent="0.2">
      <c r="B23" s="28" t="s">
        <v>17</v>
      </c>
      <c r="C23" s="6">
        <v>69930</v>
      </c>
      <c r="D23" s="6">
        <v>42770</v>
      </c>
      <c r="E23" s="6">
        <v>24400</v>
      </c>
      <c r="F23" s="15">
        <f t="shared" si="1"/>
        <v>-0.75286885245901636</v>
      </c>
      <c r="G23" s="31"/>
      <c r="H23" s="28" t="s">
        <v>17</v>
      </c>
      <c r="I23" s="6">
        <v>11770</v>
      </c>
      <c r="K23" s="126" t="s">
        <v>17</v>
      </c>
      <c r="L23" s="122">
        <v>62600</v>
      </c>
      <c r="M23" s="122">
        <v>19800</v>
      </c>
      <c r="N23" s="122">
        <f t="shared" si="2"/>
        <v>0</v>
      </c>
      <c r="O23" s="122">
        <v>4900</v>
      </c>
      <c r="P23" s="122">
        <f t="shared" si="3"/>
        <v>0</v>
      </c>
      <c r="Q23" s="122">
        <v>0</v>
      </c>
      <c r="R23" s="122">
        <v>0</v>
      </c>
      <c r="S23" s="129">
        <f t="shared" si="4"/>
        <v>37900</v>
      </c>
      <c r="U23" s="28" t="s">
        <v>17</v>
      </c>
      <c r="Z23" s="6">
        <v>24427</v>
      </c>
      <c r="AA23" s="6">
        <v>1429</v>
      </c>
      <c r="AB23" s="6">
        <v>642</v>
      </c>
      <c r="AC23" s="6">
        <v>26832</v>
      </c>
      <c r="AD23" s="6">
        <v>3207</v>
      </c>
      <c r="AE23" s="6">
        <v>529</v>
      </c>
      <c r="AF23" s="6">
        <v>291</v>
      </c>
      <c r="AG23" s="6">
        <v>4128</v>
      </c>
    </row>
    <row r="24" spans="2:33" x14ac:dyDescent="0.2">
      <c r="B24" s="28" t="s">
        <v>18</v>
      </c>
      <c r="C24" s="6">
        <v>9210</v>
      </c>
      <c r="D24" s="6">
        <v>6580</v>
      </c>
      <c r="E24" s="6">
        <v>1700</v>
      </c>
      <c r="F24" s="15">
        <f t="shared" si="1"/>
        <v>-2.8705882352941177</v>
      </c>
      <c r="G24" s="31"/>
      <c r="H24" s="28" t="s">
        <v>18</v>
      </c>
      <c r="I24" s="6">
        <v>5043</v>
      </c>
      <c r="K24" s="126" t="s">
        <v>18</v>
      </c>
      <c r="L24" s="122">
        <v>27200</v>
      </c>
      <c r="M24" s="122">
        <v>1300</v>
      </c>
      <c r="N24" s="122">
        <f t="shared" si="2"/>
        <v>0</v>
      </c>
      <c r="O24" s="122">
        <v>5400</v>
      </c>
      <c r="P24" s="122">
        <f t="shared" si="3"/>
        <v>357</v>
      </c>
      <c r="Q24" s="122">
        <v>1300</v>
      </c>
      <c r="R24" s="122">
        <v>168</v>
      </c>
      <c r="S24" s="129">
        <f t="shared" si="4"/>
        <v>19725</v>
      </c>
      <c r="U24" s="28" t="s">
        <v>18</v>
      </c>
      <c r="Z24" s="6">
        <v>8525</v>
      </c>
      <c r="AA24" s="6">
        <v>347</v>
      </c>
      <c r="AB24" s="6">
        <v>175</v>
      </c>
      <c r="AC24" s="6">
        <v>9145</v>
      </c>
      <c r="AD24" s="6">
        <v>2367</v>
      </c>
      <c r="AE24" s="6">
        <v>217</v>
      </c>
      <c r="AF24" s="6">
        <v>87</v>
      </c>
      <c r="AG24" s="6">
        <v>2732</v>
      </c>
    </row>
    <row r="25" spans="2:33" x14ac:dyDescent="0.2">
      <c r="B25" s="28" t="s">
        <v>19</v>
      </c>
      <c r="C25" s="6">
        <v>55680</v>
      </c>
      <c r="D25" s="6">
        <v>55680</v>
      </c>
      <c r="E25" s="6">
        <v>79900</v>
      </c>
      <c r="F25" s="27">
        <f t="shared" si="1"/>
        <v>0.30312891113892365</v>
      </c>
      <c r="G25" s="31"/>
      <c r="H25" s="28" t="s">
        <v>19</v>
      </c>
      <c r="I25" s="6">
        <v>158807</v>
      </c>
      <c r="K25" s="126" t="s">
        <v>19</v>
      </c>
      <c r="L25" s="122">
        <v>1100700</v>
      </c>
      <c r="M25" s="122">
        <v>58200</v>
      </c>
      <c r="N25" s="122">
        <f t="shared" si="2"/>
        <v>24220</v>
      </c>
      <c r="O25" s="122">
        <v>93400</v>
      </c>
      <c r="P25" s="122">
        <f t="shared" si="3"/>
        <v>0</v>
      </c>
      <c r="Q25" s="122">
        <v>19400</v>
      </c>
      <c r="R25" s="122">
        <v>0</v>
      </c>
      <c r="S25" s="129">
        <f t="shared" si="4"/>
        <v>953920</v>
      </c>
      <c r="U25" s="28" t="s">
        <v>19</v>
      </c>
      <c r="Z25" s="6">
        <v>240070</v>
      </c>
      <c r="AA25" s="6">
        <v>7312</v>
      </c>
      <c r="AB25" s="6">
        <v>4526</v>
      </c>
      <c r="AC25" s="6">
        <v>254395</v>
      </c>
      <c r="AD25" s="6">
        <v>57570</v>
      </c>
      <c r="AE25" s="6">
        <v>3503</v>
      </c>
      <c r="AF25" s="6">
        <v>1264</v>
      </c>
      <c r="AG25" s="6">
        <v>62773</v>
      </c>
    </row>
    <row r="26" spans="2:33" x14ac:dyDescent="0.2">
      <c r="B26" s="28" t="s">
        <v>20</v>
      </c>
      <c r="C26" s="6">
        <v>1410700</v>
      </c>
      <c r="D26" s="6">
        <v>1151700</v>
      </c>
      <c r="E26" s="6">
        <v>1059100</v>
      </c>
      <c r="F26" s="15">
        <f t="shared" si="1"/>
        <v>-8.7432725899348501E-2</v>
      </c>
      <c r="G26" s="31"/>
      <c r="H26" s="28" t="s">
        <v>20</v>
      </c>
      <c r="I26" s="6">
        <v>318319</v>
      </c>
      <c r="K26" s="126" t="s">
        <v>20</v>
      </c>
      <c r="L26" s="122">
        <v>2267100</v>
      </c>
      <c r="M26" s="122">
        <v>1012100</v>
      </c>
      <c r="N26" s="122">
        <f t="shared" si="2"/>
        <v>0</v>
      </c>
      <c r="O26" s="122">
        <v>234500</v>
      </c>
      <c r="P26" s="122">
        <f t="shared" si="3"/>
        <v>0</v>
      </c>
      <c r="Q26" s="122">
        <v>25900</v>
      </c>
      <c r="R26" s="122">
        <v>0</v>
      </c>
      <c r="S26" s="129">
        <f t="shared" si="4"/>
        <v>994600</v>
      </c>
      <c r="U26" s="28" t="s">
        <v>20</v>
      </c>
      <c r="Z26" s="6">
        <v>517843</v>
      </c>
      <c r="AA26" s="6">
        <v>14773</v>
      </c>
      <c r="AB26" s="6">
        <v>8432</v>
      </c>
      <c r="AC26" s="6">
        <v>544769</v>
      </c>
      <c r="AD26" s="6">
        <v>63305</v>
      </c>
      <c r="AE26" s="6">
        <v>2695</v>
      </c>
      <c r="AF26" s="6">
        <v>1218</v>
      </c>
      <c r="AG26" s="6">
        <v>67601</v>
      </c>
    </row>
    <row r="27" spans="2:33" x14ac:dyDescent="0.2">
      <c r="B27" s="28" t="s">
        <v>21</v>
      </c>
      <c r="C27" s="6">
        <v>258980</v>
      </c>
      <c r="D27" s="6">
        <v>150600</v>
      </c>
      <c r="E27" s="6">
        <v>140500</v>
      </c>
      <c r="F27" s="15">
        <f t="shared" si="1"/>
        <v>-7.1886120996441275E-2</v>
      </c>
      <c r="G27" s="31"/>
      <c r="H27" s="28" t="s">
        <v>21</v>
      </c>
      <c r="I27" s="6">
        <v>143388</v>
      </c>
      <c r="K27" s="126" t="s">
        <v>21</v>
      </c>
      <c r="L27" s="122">
        <v>522500</v>
      </c>
      <c r="M27" s="122">
        <v>129400</v>
      </c>
      <c r="N27" s="122">
        <f t="shared" si="2"/>
        <v>0</v>
      </c>
      <c r="O27" s="122">
        <v>76300</v>
      </c>
      <c r="P27" s="122">
        <f t="shared" si="3"/>
        <v>0</v>
      </c>
      <c r="Q27" s="122">
        <v>27800</v>
      </c>
      <c r="R27" s="122">
        <v>0</v>
      </c>
      <c r="S27" s="129">
        <f t="shared" si="4"/>
        <v>289000</v>
      </c>
      <c r="U27" s="28" t="s">
        <v>21</v>
      </c>
      <c r="Z27" s="6">
        <v>207600</v>
      </c>
      <c r="AA27" s="6">
        <v>6318</v>
      </c>
      <c r="AB27" s="6">
        <v>2775</v>
      </c>
      <c r="AC27" s="6">
        <v>217831</v>
      </c>
      <c r="AD27" s="6">
        <v>107460</v>
      </c>
      <c r="AE27" s="6">
        <v>3605</v>
      </c>
      <c r="AF27" s="6">
        <v>1532</v>
      </c>
      <c r="AG27" s="6">
        <v>113191</v>
      </c>
    </row>
    <row r="28" spans="2:33" x14ac:dyDescent="0.2">
      <c r="B28" s="28" t="s">
        <v>22</v>
      </c>
      <c r="C28" s="6">
        <v>3422030</v>
      </c>
      <c r="D28" s="6">
        <v>465650</v>
      </c>
      <c r="E28" s="6">
        <v>947400</v>
      </c>
      <c r="F28" s="27">
        <f t="shared" si="1"/>
        <v>0.50849693899092252</v>
      </c>
      <c r="G28" s="31"/>
      <c r="H28" s="28" t="s">
        <v>22</v>
      </c>
      <c r="I28" s="6">
        <v>91377</v>
      </c>
      <c r="K28" s="126" t="s">
        <v>22</v>
      </c>
      <c r="L28" s="122">
        <v>1355700</v>
      </c>
      <c r="M28" s="122">
        <v>938800</v>
      </c>
      <c r="N28" s="122">
        <f t="shared" si="2"/>
        <v>481750</v>
      </c>
      <c r="O28" s="122">
        <v>43100</v>
      </c>
      <c r="P28" s="122">
        <f t="shared" si="3"/>
        <v>0</v>
      </c>
      <c r="Q28" s="122">
        <v>0</v>
      </c>
      <c r="R28" s="122">
        <v>0</v>
      </c>
      <c r="S28" s="129">
        <f t="shared" si="4"/>
        <v>855550</v>
      </c>
      <c r="U28" s="28" t="s">
        <v>22</v>
      </c>
      <c r="Z28" s="6">
        <v>158414</v>
      </c>
      <c r="AA28" s="6">
        <v>8466</v>
      </c>
      <c r="AB28" s="6">
        <v>4156</v>
      </c>
      <c r="AC28" s="6">
        <v>172691</v>
      </c>
      <c r="AD28" s="6">
        <v>22812</v>
      </c>
      <c r="AE28" s="6">
        <v>2480</v>
      </c>
      <c r="AF28" s="6">
        <v>1461</v>
      </c>
      <c r="AG28" s="6">
        <v>27175</v>
      </c>
    </row>
    <row r="29" spans="2:33" x14ac:dyDescent="0.2">
      <c r="B29" s="28" t="s">
        <v>23</v>
      </c>
      <c r="C29" s="6">
        <v>62940</v>
      </c>
      <c r="D29" s="6">
        <v>62940</v>
      </c>
      <c r="E29" s="6">
        <v>49000</v>
      </c>
      <c r="F29" s="15">
        <f t="shared" si="1"/>
        <v>-0.28448979591836737</v>
      </c>
      <c r="G29" s="31"/>
      <c r="H29" s="28" t="s">
        <v>23</v>
      </c>
      <c r="I29" s="6">
        <v>77463</v>
      </c>
      <c r="K29" s="126" t="s">
        <v>23</v>
      </c>
      <c r="L29" s="122">
        <v>306600</v>
      </c>
      <c r="M29" s="122">
        <v>38200</v>
      </c>
      <c r="N29" s="122">
        <f t="shared" si="2"/>
        <v>0</v>
      </c>
      <c r="O29" s="122">
        <v>26700</v>
      </c>
      <c r="P29" s="122">
        <f t="shared" si="3"/>
        <v>0</v>
      </c>
      <c r="Q29" s="122">
        <v>8100</v>
      </c>
      <c r="R29" s="122">
        <v>0</v>
      </c>
      <c r="S29" s="129">
        <f t="shared" si="4"/>
        <v>233600</v>
      </c>
      <c r="U29" s="28" t="s">
        <v>23</v>
      </c>
      <c r="Z29" s="6">
        <v>104654</v>
      </c>
      <c r="AA29" s="6">
        <v>4479</v>
      </c>
      <c r="AB29" s="6">
        <v>2539</v>
      </c>
      <c r="AC29" s="6">
        <v>113177</v>
      </c>
      <c r="AD29" s="6">
        <v>26110</v>
      </c>
      <c r="AE29" s="6">
        <v>2360</v>
      </c>
      <c r="AF29" s="6">
        <v>1097</v>
      </c>
      <c r="AG29" s="6">
        <v>30036</v>
      </c>
    </row>
    <row r="30" spans="2:33" x14ac:dyDescent="0.2">
      <c r="B30" s="28" t="s">
        <v>24</v>
      </c>
      <c r="C30" s="6">
        <v>69900</v>
      </c>
      <c r="D30" s="6">
        <v>29750</v>
      </c>
      <c r="E30" s="6">
        <v>17800</v>
      </c>
      <c r="F30" s="15">
        <f t="shared" si="1"/>
        <v>-0.6713483146067416</v>
      </c>
      <c r="G30" s="31"/>
      <c r="H30" s="28" t="s">
        <v>24</v>
      </c>
      <c r="I30" s="6">
        <v>16792</v>
      </c>
      <c r="K30" s="126" t="s">
        <v>24</v>
      </c>
      <c r="L30" s="122">
        <v>82200</v>
      </c>
      <c r="M30" s="122">
        <v>16600</v>
      </c>
      <c r="N30" s="122">
        <f t="shared" si="2"/>
        <v>0</v>
      </c>
      <c r="O30" s="122">
        <v>7200</v>
      </c>
      <c r="P30" s="122">
        <f t="shared" si="3"/>
        <v>0</v>
      </c>
      <c r="Q30" s="122">
        <v>1700</v>
      </c>
      <c r="R30" s="122">
        <v>0</v>
      </c>
      <c r="S30" s="129">
        <f t="shared" si="4"/>
        <v>56700</v>
      </c>
      <c r="U30" s="28" t="s">
        <v>24</v>
      </c>
      <c r="Z30" s="6">
        <v>24690</v>
      </c>
      <c r="AA30" s="6">
        <v>840</v>
      </c>
      <c r="AB30" s="6">
        <v>376</v>
      </c>
      <c r="AC30" s="6">
        <v>26148</v>
      </c>
      <c r="AD30" s="6">
        <v>11684</v>
      </c>
      <c r="AE30" s="6">
        <v>350</v>
      </c>
      <c r="AF30" s="6">
        <v>140</v>
      </c>
      <c r="AG30" s="6">
        <v>12232</v>
      </c>
    </row>
    <row r="31" spans="2:33" ht="12" thickBot="1" x14ac:dyDescent="0.25">
      <c r="B31" s="28" t="s">
        <v>25</v>
      </c>
      <c r="C31" s="6">
        <v>25660</v>
      </c>
      <c r="D31" s="6">
        <v>9860</v>
      </c>
      <c r="E31" s="6">
        <v>11900</v>
      </c>
      <c r="F31" s="27">
        <f t="shared" si="1"/>
        <v>0.17142857142857143</v>
      </c>
      <c r="G31" s="31"/>
      <c r="H31" s="28" t="s">
        <v>25</v>
      </c>
      <c r="I31" s="6">
        <v>83466</v>
      </c>
      <c r="K31" s="130" t="s">
        <v>25</v>
      </c>
      <c r="L31" s="131">
        <v>309100</v>
      </c>
      <c r="M31" s="131">
        <v>9000</v>
      </c>
      <c r="N31" s="131">
        <f t="shared" si="2"/>
        <v>2040</v>
      </c>
      <c r="O31" s="131">
        <v>34600</v>
      </c>
      <c r="P31" s="131">
        <f t="shared" si="3"/>
        <v>0</v>
      </c>
      <c r="Q31" s="131">
        <v>2500</v>
      </c>
      <c r="R31" s="131">
        <v>0</v>
      </c>
      <c r="S31" s="132">
        <f t="shared" si="4"/>
        <v>265040</v>
      </c>
      <c r="U31" s="28" t="s">
        <v>25</v>
      </c>
      <c r="Z31" s="6">
        <v>105923</v>
      </c>
      <c r="AA31" s="6">
        <v>1855</v>
      </c>
      <c r="AB31" s="6">
        <v>930</v>
      </c>
      <c r="AC31" s="6">
        <v>109243</v>
      </c>
      <c r="AD31" s="6">
        <v>17424</v>
      </c>
      <c r="AE31" s="6">
        <v>976</v>
      </c>
      <c r="AF31" s="6">
        <v>299</v>
      </c>
      <c r="AG31" s="6">
        <v>18798</v>
      </c>
    </row>
    <row r="33" spans="11:11" x14ac:dyDescent="0.2">
      <c r="K33" s="142" t="s">
        <v>378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EC Publication identifiers</vt:lpstr>
      <vt:lpstr>Collective Agreements</vt:lpstr>
      <vt:lpstr>Agreement table</vt:lpstr>
      <vt:lpstr>Poverty</vt:lpstr>
      <vt:lpstr>State budget</vt:lpstr>
      <vt:lpstr>Price impact v2</vt:lpstr>
      <vt:lpstr>2020</vt:lpstr>
      <vt:lpstr>Data by size class</vt:lpstr>
      <vt:lpstr>Firms Agri Trade Restaurants</vt:lpstr>
      <vt:lpstr>Option 1, Step 1</vt:lpstr>
      <vt:lpstr>Option 2, Step 1</vt:lpstr>
      <vt:lpstr>Option 3, Step 1</vt:lpstr>
      <vt:lpstr>Option 4, Step 1</vt:lpstr>
      <vt:lpstr>Step 2 source data</vt:lpstr>
      <vt:lpstr>Step 2</vt:lpstr>
      <vt:lpstr>Step 3</vt:lpstr>
      <vt:lpstr>Step 4</vt:lpstr>
      <vt:lpstr>2nd baseline 2030</vt:lpstr>
      <vt:lpstr>Nrs losing rights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van der Ende</dc:creator>
  <cp:lastModifiedBy>TOLAN Alexandrina (COMP)</cp:lastModifiedBy>
  <cp:lastPrinted>2022-08-26T12:03:56Z</cp:lastPrinted>
  <dcterms:created xsi:type="dcterms:W3CDTF">2021-05-27T11:00:20Z</dcterms:created>
  <dcterms:modified xsi:type="dcterms:W3CDTF">2022-09-23T15:14:39Z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bd9ddd1-4d20-43f6-abfa-fc3c07406f94_Enabled">
    <vt:lpwstr>true</vt:lpwstr>
  </property>
  <property fmtid="{D5CDD505-2E9C-101B-9397-08002B2CF9AE}" pid="3" name="MSIP_Label_6bd9ddd1-4d20-43f6-abfa-fc3c07406f94_SetDate">
    <vt:lpwstr>2022-08-26T09:59:44Z</vt:lpwstr>
  </property>
  <property fmtid="{D5CDD505-2E9C-101B-9397-08002B2CF9AE}" pid="4" name="MSIP_Label_6bd9ddd1-4d20-43f6-abfa-fc3c07406f94_Method">
    <vt:lpwstr>Standard</vt:lpwstr>
  </property>
  <property fmtid="{D5CDD505-2E9C-101B-9397-08002B2CF9AE}" pid="5" name="MSIP_Label_6bd9ddd1-4d20-43f6-abfa-fc3c07406f94_Name">
    <vt:lpwstr>Commission Use</vt:lpwstr>
  </property>
  <property fmtid="{D5CDD505-2E9C-101B-9397-08002B2CF9AE}" pid="6" name="MSIP_Label_6bd9ddd1-4d20-43f6-abfa-fc3c07406f94_SiteId">
    <vt:lpwstr>b24c8b06-522c-46fe-9080-70926f8dddb1</vt:lpwstr>
  </property>
  <property fmtid="{D5CDD505-2E9C-101B-9397-08002B2CF9AE}" pid="7" name="MSIP_Label_6bd9ddd1-4d20-43f6-abfa-fc3c07406f94_ActionId">
    <vt:lpwstr>8cbfc2c2-7cca-4a75-a34c-ba0559d6dff5</vt:lpwstr>
  </property>
  <property fmtid="{D5CDD505-2E9C-101B-9397-08002B2CF9AE}" pid="8" name="MSIP_Label_6bd9ddd1-4d20-43f6-abfa-fc3c07406f94_ContentBits">
    <vt:lpwstr>0</vt:lpwstr>
  </property>
</Properties>
</file>